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B6F17F9-37C1-45CB-8633-9502DA9295C3}" xr6:coauthVersionLast="47" xr6:coauthVersionMax="47" xr10:uidLastSave="{00000000-0000-0000-0000-000000000000}"/>
  <workbookProtection workbookAlgorithmName="SHA-512" workbookHashValue="iiq94VDzq+9X54DhXF0zTxzYoe5xLcLNz87eNsU0xn9A/uk2MOgxx3QHOh1L+poUBs5TlGgfe9hv41mZdcT0vg==" workbookSaltValue="bpyt4o3iV7NZgZSxeoLb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C1989" i="100"/>
  <c r="B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6" i="100"/>
  <c r="B1646"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90"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I1201" i="100"/>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I1076" i="100"/>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J1009" i="100"/>
  <c r="G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I668" i="100"/>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C178" i="94" a="1"/>
  <c r="C100" i="94" a="1"/>
  <c r="C122" i="94" a="1"/>
  <c r="C146" i="94" a="1"/>
  <c r="C44" i="94" a="1"/>
  <c r="C138" i="94" a="1"/>
  <c r="C58" i="94" a="1"/>
  <c r="C86" i="94" a="1"/>
  <c r="C209" i="94" a="1"/>
  <c r="C72" i="94" a="1"/>
  <c r="C130" i="94" a="1"/>
  <c r="C197" i="94" a="1"/>
  <c r="C30" i="94" a="1"/>
  <c r="C16" i="94" a="1"/>
  <c r="G230" i="94" l="1"/>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C130" i="94"/>
  <c r="C178" i="94"/>
  <c r="C16" i="94"/>
  <c r="C86" i="94"/>
  <c r="C138" i="94"/>
  <c r="C197" i="94"/>
  <c r="C209" i="94"/>
  <c r="C122" i="94"/>
  <c r="C100" i="94"/>
  <c r="C58" i="94"/>
  <c r="C72" i="94"/>
  <c r="C146" i="94"/>
  <c r="C44" i="94"/>
  <c r="C30" i="94"/>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Z38" i="72" l="1"/>
  <c r="AB38" i="72"/>
  <c r="E147" i="94"/>
  <c r="E139" i="94"/>
  <c r="E131" i="94"/>
  <c r="E123" i="94"/>
  <c r="E146" i="94"/>
  <c r="E138" i="94"/>
  <c r="E130" i="94"/>
  <c r="E122" i="94"/>
  <c r="E115" i="94"/>
  <c r="U95" i="94"/>
  <c r="U110"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T94" i="94"/>
  <c r="C11" i="69" a="1"/>
  <c r="C11" i="69" s="1"/>
  <c r="AV24" i="61"/>
  <c r="O147" i="94" l="1"/>
  <c r="O139" i="94"/>
  <c r="O131" i="94"/>
  <c r="O123" i="94"/>
  <c r="O115" i="94"/>
  <c r="M5" i="90" l="1"/>
  <c r="J12" i="74"/>
  <c r="G13" i="74" s="1"/>
  <c r="H8" i="99" l="1"/>
  <c r="G4" i="99"/>
  <c r="B786" i="100"/>
  <c r="B150" i="100"/>
  <c r="C138" i="100"/>
  <c r="C431" i="100"/>
  <c r="C336" i="100"/>
  <c r="C810" i="100"/>
  <c r="B527" i="100"/>
  <c r="B513" i="100"/>
  <c r="C1729" i="100"/>
  <c r="C609" i="100"/>
  <c r="C280" i="100"/>
  <c r="C152" i="100"/>
  <c r="B1671" i="100"/>
  <c r="B919" i="100"/>
  <c r="C509" i="100"/>
  <c r="B215" i="100"/>
  <c r="B98" i="100"/>
  <c r="C490" i="100"/>
  <c r="B1248" i="100"/>
  <c r="B114" i="100"/>
  <c r="B68" i="100"/>
  <c r="B307" i="100"/>
  <c r="B1558" i="100"/>
  <c r="C1222" i="100"/>
  <c r="C1715" i="100"/>
  <c r="B886" i="100"/>
  <c r="B1815" i="100"/>
  <c r="B519" i="100"/>
  <c r="B262" i="100"/>
  <c r="C1199" i="100"/>
  <c r="B149" i="100"/>
  <c r="C14" i="100"/>
  <c r="C262" i="100"/>
  <c r="B261" i="100"/>
  <c r="C76" i="100"/>
  <c r="C28" i="100"/>
  <c r="B143" i="100"/>
  <c r="B75" i="100"/>
  <c r="C671" i="100"/>
  <c r="B1584" i="100"/>
  <c r="C242" i="100"/>
  <c r="B1184" i="100"/>
  <c r="B915" i="100"/>
  <c r="B183" i="100"/>
  <c r="B1602" i="100"/>
  <c r="B272" i="100"/>
  <c r="C1128" i="100"/>
  <c r="B688" i="100"/>
  <c r="C459" i="100"/>
  <c r="C1208" i="100"/>
  <c r="C467" i="100"/>
  <c r="C49" i="100"/>
  <c r="B520" i="100"/>
  <c r="B228" i="100"/>
  <c r="B308" i="100"/>
  <c r="B3" i="100"/>
  <c r="C349" i="100"/>
  <c r="B968" i="100"/>
  <c r="B1900" i="100"/>
  <c r="C739" i="100"/>
  <c r="C1612" i="100"/>
  <c r="B390" i="100"/>
  <c r="C851" i="100"/>
  <c r="B453" i="100"/>
  <c r="C34" i="100"/>
  <c r="B107" i="100"/>
  <c r="B59" i="100"/>
  <c r="B102" i="100"/>
  <c r="C525" i="100"/>
  <c r="C1275" i="100"/>
  <c r="C1839" i="100"/>
  <c r="C314" i="100"/>
  <c r="B400" i="100"/>
  <c r="B744" i="100"/>
  <c r="C481" i="100"/>
  <c r="C1593" i="100"/>
  <c r="C1588" i="100"/>
  <c r="C862" i="100"/>
  <c r="B135" i="100"/>
  <c r="B224" i="100"/>
  <c r="B118" i="100"/>
  <c r="C1755" i="100"/>
  <c r="B492" i="100"/>
  <c r="C297" i="100"/>
  <c r="C412" i="100"/>
  <c r="B346" i="100"/>
  <c r="C1153" i="100"/>
  <c r="C511" i="100"/>
  <c r="C693" i="100"/>
  <c r="B693" i="100"/>
  <c r="C1176" i="100"/>
  <c r="B335" i="100"/>
  <c r="C258" i="100"/>
  <c r="B71" i="100"/>
  <c r="B369" i="100"/>
  <c r="C872" i="100"/>
  <c r="B532" i="100"/>
  <c r="C1786" i="100"/>
  <c r="B1757" i="100"/>
  <c r="B1154" i="100"/>
  <c r="C989" i="100"/>
  <c r="B1088" i="100"/>
  <c r="C1740" i="100"/>
  <c r="C1726" i="100"/>
  <c r="C717" i="100"/>
  <c r="B343" i="100"/>
  <c r="C1892" i="100"/>
  <c r="B1973" i="100"/>
  <c r="B489" i="100"/>
  <c r="C89" i="100"/>
  <c r="C278" i="100"/>
  <c r="C508" i="100"/>
  <c r="B1171" i="100"/>
  <c r="C1825" i="100"/>
  <c r="B1568" i="100"/>
  <c r="B1015" i="100"/>
  <c r="C1196" i="100"/>
  <c r="B278" i="100"/>
  <c r="B349" i="100"/>
  <c r="C109" i="100"/>
  <c r="B337" i="100"/>
  <c r="B1591" i="100"/>
  <c r="C243" i="100"/>
  <c r="B748" i="100"/>
  <c r="C8" i="100"/>
  <c r="B1139" i="100"/>
  <c r="B327" i="100"/>
  <c r="B509" i="100"/>
  <c r="C344" i="100"/>
  <c r="C903" i="100"/>
  <c r="C828" i="100"/>
  <c r="C296" i="100"/>
  <c r="B386" i="100"/>
  <c r="C464" i="100"/>
  <c r="B709" i="100"/>
  <c r="C310" i="100"/>
  <c r="C1086" i="100"/>
  <c r="C918" i="100"/>
  <c r="C1204" i="100"/>
  <c r="B521" i="100"/>
  <c r="B536" i="100"/>
  <c r="C480" i="100"/>
  <c r="C380" i="100"/>
  <c r="C688" i="100"/>
  <c r="B20" i="100"/>
  <c r="C423" i="100"/>
  <c r="C416" i="100"/>
  <c r="B405" i="100"/>
  <c r="C871" i="100"/>
  <c r="B324" i="100"/>
  <c r="C484" i="100"/>
  <c r="B145" i="100"/>
  <c r="C665" i="100"/>
  <c r="B767" i="100"/>
  <c r="B1599" i="100"/>
  <c r="B418" i="100"/>
  <c r="B669" i="100"/>
  <c r="B1730" i="100"/>
  <c r="C1765" i="100"/>
  <c r="B1172" i="100"/>
  <c r="B356" i="100"/>
  <c r="C202" i="100"/>
  <c r="C377" i="100"/>
  <c r="B72" i="100"/>
  <c r="C539" i="100"/>
  <c r="B142" i="100"/>
  <c r="C299" i="100"/>
  <c r="B117" i="100"/>
  <c r="B440" i="100"/>
  <c r="C859" i="100"/>
  <c r="C407" i="100"/>
  <c r="B1280" i="100"/>
  <c r="C1050" i="100"/>
  <c r="C432" i="100"/>
  <c r="B416" i="100"/>
  <c r="B333" i="100"/>
  <c r="B451" i="100"/>
  <c r="C388" i="100"/>
  <c r="C814" i="100"/>
  <c r="C614" i="100"/>
  <c r="C562" i="100"/>
  <c r="C148" i="100"/>
  <c r="B504" i="100"/>
  <c r="C272" i="100"/>
  <c r="B124" i="100"/>
  <c r="C766" i="100"/>
  <c r="B4" i="100"/>
  <c r="B413" i="100"/>
  <c r="C288" i="100"/>
  <c r="B36" i="100"/>
  <c r="C155" i="100"/>
  <c r="C446" i="100"/>
  <c r="C982" i="100"/>
  <c r="B884" i="100"/>
  <c r="B425" i="100"/>
  <c r="C680" i="100"/>
  <c r="C154" i="100"/>
  <c r="B475" i="100"/>
  <c r="C596" i="100"/>
  <c r="B289" i="100"/>
  <c r="C1938" i="100"/>
  <c r="B656" i="100"/>
  <c r="C436" i="100"/>
  <c r="C741" i="100"/>
  <c r="B802" i="100"/>
  <c r="C394" i="100"/>
  <c r="B476" i="100"/>
  <c r="B689" i="100"/>
  <c r="C641" i="100"/>
  <c r="B852" i="100"/>
  <c r="B1225" i="100"/>
  <c r="B740" i="100"/>
  <c r="C1597" i="100"/>
  <c r="B181" i="100"/>
  <c r="C1927" i="100"/>
  <c r="C679" i="100"/>
  <c r="B497" i="100"/>
  <c r="B534" i="100"/>
  <c r="C1225" i="100"/>
  <c r="B850" i="100"/>
  <c r="B1935" i="100"/>
  <c r="C879" i="100"/>
  <c r="B1772" i="100"/>
  <c r="C1008" i="100"/>
  <c r="C194" i="100"/>
  <c r="C500" i="100"/>
  <c r="C19" i="100"/>
  <c r="B238" i="100"/>
  <c r="B788" i="100"/>
  <c r="B712" i="100"/>
  <c r="C237" i="100"/>
  <c r="C4" i="100"/>
  <c r="B1201" i="100"/>
  <c r="B78" i="100"/>
  <c r="B81" i="100"/>
  <c r="B1613" i="100"/>
  <c r="B1233" i="100"/>
  <c r="C1937" i="100"/>
  <c r="C1270" i="100"/>
  <c r="C439" i="100"/>
  <c r="B207" i="100"/>
  <c r="B652" i="100"/>
  <c r="B64" i="100"/>
  <c r="B381" i="100"/>
  <c r="C795" i="100"/>
  <c r="C444" i="100"/>
  <c r="C404" i="100"/>
  <c r="B66" i="100"/>
  <c r="B686" i="100"/>
  <c r="C591" i="100"/>
  <c r="B409" i="100"/>
  <c r="C147" i="100"/>
  <c r="B1782" i="100"/>
  <c r="C312" i="100"/>
  <c r="B1212" i="100"/>
  <c r="B455" i="100"/>
  <c r="B846" i="100"/>
  <c r="C71" i="100"/>
  <c r="B660" i="100"/>
  <c r="B986" i="100"/>
  <c r="C1189" i="100"/>
  <c r="B597" i="100"/>
  <c r="B600" i="100"/>
  <c r="C1281" i="100"/>
  <c r="B223" i="100"/>
  <c r="B1603" i="100"/>
  <c r="B1124" i="100"/>
  <c r="B480" i="100"/>
  <c r="C687" i="100"/>
  <c r="B299" i="100"/>
  <c r="C359" i="100"/>
  <c r="B252" i="100"/>
  <c r="C411" i="100"/>
  <c r="C403" i="100"/>
  <c r="B1701" i="100"/>
  <c r="B411" i="100"/>
  <c r="C271" i="100"/>
  <c r="B699" i="100"/>
  <c r="B750" i="100"/>
  <c r="C697" i="100"/>
  <c r="B127" i="100"/>
  <c r="B139" i="100"/>
  <c r="B1256" i="100"/>
  <c r="C250" i="100"/>
  <c r="C316" i="100"/>
  <c r="C1271" i="100"/>
  <c r="C1266" i="100"/>
  <c r="C1565" i="100"/>
  <c r="C698" i="100"/>
  <c r="B523" i="100"/>
  <c r="C1091" i="100"/>
  <c r="B1752" i="100"/>
  <c r="C940" i="100"/>
  <c r="C738" i="100"/>
  <c r="C908" i="100"/>
  <c r="B861" i="100"/>
  <c r="B1924" i="100"/>
  <c r="C16" i="100"/>
  <c r="B792" i="100"/>
  <c r="C10" i="100"/>
  <c r="B479" i="100"/>
  <c r="B697" i="100"/>
  <c r="B515" i="100"/>
  <c r="B45" i="100"/>
  <c r="B643" i="100"/>
  <c r="C1796" i="100"/>
  <c r="B493" i="100"/>
  <c r="C1005" i="100"/>
  <c r="C114" i="94" a="1"/>
  <c r="C1600" i="100"/>
  <c r="B934" i="100"/>
  <c r="B681" i="100"/>
  <c r="B1884" i="100"/>
  <c r="C499" i="100"/>
  <c r="C819" i="100"/>
  <c r="B1616" i="100"/>
  <c r="B459" i="100"/>
  <c r="B658" i="100"/>
  <c r="C1052" i="100"/>
  <c r="B1282" i="100"/>
  <c r="C617" i="100"/>
  <c r="B510" i="100"/>
  <c r="C478" i="100"/>
  <c r="C1132" i="100"/>
  <c r="B105" i="100"/>
  <c r="B1268" i="100"/>
  <c r="B730" i="100"/>
  <c r="C653" i="100"/>
  <c r="B1643" i="100"/>
  <c r="B385" i="100"/>
  <c r="C1821" i="100"/>
  <c r="C1279" i="100"/>
  <c r="C1607" i="100"/>
  <c r="C48" i="100"/>
  <c r="C264" i="100"/>
  <c r="C1019" i="100"/>
  <c r="B397" i="100"/>
  <c r="B1072" i="100"/>
  <c r="C1043" i="100"/>
  <c r="C1235" i="100"/>
  <c r="B452" i="100"/>
  <c r="B1244" i="100"/>
  <c r="B1887" i="100"/>
  <c r="B1113" i="100"/>
  <c r="B563" i="100"/>
  <c r="C974" i="100"/>
  <c r="B1162" i="100"/>
  <c r="B247" i="100"/>
  <c r="C747" i="100"/>
  <c r="B1261" i="100"/>
  <c r="B234" i="100"/>
  <c r="C57" i="100"/>
  <c r="C1025" i="100"/>
  <c r="C1263" i="100"/>
  <c r="B265" i="100"/>
  <c r="B1753" i="100"/>
  <c r="C1800" i="100"/>
  <c r="B554" i="100"/>
  <c r="C126" i="100"/>
  <c r="B946" i="100"/>
  <c r="C7" i="100"/>
  <c r="C950" i="100"/>
  <c r="C1965" i="100"/>
  <c r="C133" i="100"/>
  <c r="B1614" i="100"/>
  <c r="B617" i="100"/>
  <c r="B1165" i="100"/>
  <c r="B1944" i="100"/>
  <c r="B815" i="100"/>
  <c r="C1721" i="100"/>
  <c r="C884" i="100"/>
  <c r="C292" i="100"/>
  <c r="C1779" i="100"/>
  <c r="C20" i="100"/>
  <c r="C375" i="100"/>
  <c r="B280" i="100"/>
  <c r="C1569" i="100"/>
  <c r="C369" i="100"/>
  <c r="C286" i="100"/>
  <c r="C572" i="100"/>
  <c r="C367" i="100"/>
  <c r="C361" i="100"/>
  <c r="B1277" i="100"/>
  <c r="C628" i="100"/>
  <c r="C362" i="100"/>
  <c r="C638" i="100"/>
  <c r="C475" i="100"/>
  <c r="B868" i="100"/>
  <c r="C179" i="100"/>
  <c r="C867" i="100"/>
  <c r="C201" i="100"/>
  <c r="B350" i="100"/>
  <c r="B976" i="100"/>
  <c r="B835" i="100"/>
  <c r="B856" i="100"/>
  <c r="B751" i="100"/>
  <c r="B253" i="100"/>
  <c r="B113" i="100"/>
  <c r="C110" i="100"/>
  <c r="B672" i="100"/>
  <c r="C117" i="100"/>
  <c r="B450" i="100"/>
  <c r="B87" i="100"/>
  <c r="B101" i="100"/>
  <c r="B1754" i="100"/>
  <c r="B1911" i="100"/>
  <c r="B760" i="100"/>
  <c r="C406" i="100"/>
  <c r="B1019" i="100"/>
  <c r="B30" i="100"/>
  <c r="B199" i="100"/>
  <c r="B1554" i="100"/>
  <c r="B1555" i="100"/>
  <c r="B351" i="100"/>
  <c r="B326" i="100"/>
  <c r="B1180" i="100"/>
  <c r="C803" i="100"/>
  <c r="B862" i="100"/>
  <c r="B556" i="100"/>
  <c r="B388" i="100"/>
  <c r="B108" i="100"/>
  <c r="B512" i="100"/>
  <c r="B34" i="100"/>
  <c r="C291" i="100"/>
  <c r="B291" i="100"/>
  <c r="C1072" i="100"/>
  <c r="B1239" i="100"/>
  <c r="B664" i="100"/>
  <c r="C990" i="100"/>
  <c r="B1204" i="100"/>
  <c r="B314" i="100"/>
  <c r="C934" i="100"/>
  <c r="C495" i="100"/>
  <c r="B383" i="100"/>
  <c r="B192" i="100"/>
  <c r="C530" i="100"/>
  <c r="C1775" i="100"/>
  <c r="C984" i="100"/>
  <c r="C881" i="100"/>
  <c r="C1594" i="100"/>
  <c r="B1798" i="100"/>
  <c r="C1272" i="100"/>
  <c r="B94" i="100"/>
  <c r="B384" i="100"/>
  <c r="C1687" i="100"/>
  <c r="C604" i="100"/>
  <c r="B729" i="100"/>
  <c r="B1240" i="100"/>
  <c r="C1596" i="100"/>
  <c r="C137" i="100"/>
  <c r="C787" i="100"/>
  <c r="C1213" i="100"/>
  <c r="B229" i="100"/>
  <c r="B25" i="100"/>
  <c r="C172" i="100"/>
  <c r="C896" i="100"/>
  <c r="B1009" i="100"/>
  <c r="B123" i="100"/>
  <c r="C512" i="100"/>
  <c r="B348" i="100"/>
  <c r="B1228" i="100"/>
  <c r="C579" i="100"/>
  <c r="B1595" i="100"/>
  <c r="B770" i="100"/>
  <c r="B206" i="100"/>
  <c r="B866" i="100"/>
  <c r="C657" i="100"/>
  <c r="B172" i="100"/>
  <c r="C986" i="100"/>
  <c r="C1828" i="100"/>
  <c r="B570" i="100"/>
  <c r="C1249" i="100"/>
  <c r="C374" i="100"/>
  <c r="B1018" i="100"/>
  <c r="B294" i="100"/>
  <c r="B1164" i="100"/>
  <c r="C1123" i="100"/>
  <c r="C1706" i="100"/>
  <c r="B205" i="100"/>
  <c r="C566" i="100"/>
  <c r="C1158" i="100"/>
  <c r="C356" i="100"/>
  <c r="B637" i="100"/>
  <c r="B169" i="100"/>
  <c r="B977" i="100"/>
  <c r="C777" i="100"/>
  <c r="C1020" i="100"/>
  <c r="C652" i="100"/>
  <c r="C81" i="100"/>
  <c r="B668" i="100"/>
  <c r="C340" i="100"/>
  <c r="B502" i="100"/>
  <c r="C23" i="100"/>
  <c r="C1586" i="100"/>
  <c r="B463" i="100"/>
  <c r="B1060" i="100"/>
  <c r="B364" i="100"/>
  <c r="C517" i="100"/>
  <c r="C83" i="100"/>
  <c r="C599" i="100"/>
  <c r="C358" i="100"/>
  <c r="B97" i="100"/>
  <c r="C575" i="100"/>
  <c r="C1911" i="100"/>
  <c r="B1255" i="100"/>
  <c r="B605" i="100"/>
  <c r="B1213" i="100"/>
  <c r="C854" i="100"/>
  <c r="C1273" i="100"/>
  <c r="B749" i="100"/>
  <c r="C15" i="100"/>
  <c r="C328" i="100"/>
  <c r="B1556" i="100"/>
  <c r="C300" i="100"/>
  <c r="C1267" i="100"/>
  <c r="C913" i="100"/>
  <c r="C843" i="100"/>
  <c r="C206" i="100"/>
  <c r="C1221" i="100"/>
  <c r="C534" i="100"/>
  <c r="C1038" i="100"/>
  <c r="B391" i="100"/>
  <c r="B225" i="100"/>
  <c r="C719" i="100"/>
  <c r="B374" i="100"/>
  <c r="C949" i="100"/>
  <c r="C322" i="100"/>
  <c r="B969" i="100"/>
  <c r="B1789" i="100"/>
  <c r="C1603" i="100"/>
  <c r="C811" i="100"/>
  <c r="C1248" i="100"/>
  <c r="B203" i="100"/>
  <c r="B710" i="100"/>
  <c r="B1227" i="100"/>
  <c r="C352" i="100"/>
  <c r="C745" i="100"/>
  <c r="B495" i="100"/>
  <c r="B1597" i="100"/>
  <c r="C453" i="100"/>
  <c r="B438" i="100"/>
  <c r="C9" i="100"/>
  <c r="B882" i="100"/>
  <c r="C466" i="100"/>
  <c r="C1591" i="100"/>
  <c r="B433" i="100"/>
  <c r="B1189" i="100"/>
  <c r="B401" i="100"/>
  <c r="C176" i="100"/>
  <c r="C84" i="100"/>
  <c r="C146" i="100"/>
  <c r="C850" i="100"/>
  <c r="C476" i="100"/>
  <c r="C1274" i="100"/>
  <c r="C1794" i="100"/>
  <c r="C528" i="100"/>
  <c r="B1561" i="100"/>
  <c r="C1076" i="100"/>
  <c r="B1223" i="100"/>
  <c r="C12" i="100"/>
  <c r="C305" i="100"/>
  <c r="B485" i="100"/>
  <c r="B415" i="100"/>
  <c r="B863" i="100"/>
  <c r="B220" i="100"/>
  <c r="C1616" i="100"/>
  <c r="C677" i="100"/>
  <c r="C832" i="100"/>
  <c r="C958" i="100"/>
  <c r="C1852" i="100"/>
  <c r="C304" i="100"/>
  <c r="B1148" i="100"/>
  <c r="C1214" i="100"/>
  <c r="B1266" i="100"/>
  <c r="B60" i="100"/>
  <c r="B306" i="100"/>
  <c r="C1200" i="100"/>
  <c r="C1241" i="100"/>
  <c r="C324" i="100"/>
  <c r="C771" i="100"/>
  <c r="B26" i="100"/>
  <c r="C1560" i="100"/>
  <c r="C150" i="100"/>
  <c r="C293" i="100"/>
  <c r="B565" i="100"/>
  <c r="B246" i="100"/>
  <c r="C1261" i="100"/>
  <c r="C400" i="100"/>
  <c r="B334" i="100"/>
  <c r="C350" i="100"/>
  <c r="C105" i="100"/>
  <c r="C124" i="100"/>
  <c r="C1036" i="100"/>
  <c r="B718" i="100"/>
  <c r="B529" i="100"/>
  <c r="B446" i="100"/>
  <c r="B467" i="100"/>
  <c r="B44" i="100"/>
  <c r="C216" i="100"/>
  <c r="B282" i="100"/>
  <c r="B1874" i="100"/>
  <c r="B629" i="100"/>
  <c r="B560" i="100"/>
  <c r="B1253" i="100"/>
  <c r="B1559" i="100"/>
  <c r="C1605" i="100"/>
  <c r="B735" i="100"/>
  <c r="B1756" i="100"/>
  <c r="C783" i="100"/>
  <c r="B1265" i="100"/>
  <c r="C1811" i="100"/>
  <c r="C450" i="100"/>
  <c r="B893" i="100"/>
  <c r="B360" i="100"/>
  <c r="C1842" i="100"/>
  <c r="B854" i="100"/>
  <c r="B428" i="100"/>
  <c r="C554" i="100"/>
  <c r="B1601" i="100"/>
  <c r="C533" i="100"/>
  <c r="C341" i="100"/>
  <c r="C153" i="100"/>
  <c r="C817" i="100"/>
  <c r="C506" i="100"/>
  <c r="B828" i="100"/>
  <c r="B1271" i="100"/>
  <c r="C911" i="100"/>
  <c r="B435" i="100"/>
  <c r="B466" i="100"/>
  <c r="C442" i="100"/>
  <c r="B322" i="100"/>
  <c r="C226" i="100"/>
  <c r="C373" i="100"/>
  <c r="C675" i="100"/>
  <c r="B271" i="100"/>
  <c r="C308" i="100"/>
  <c r="C1674" i="100"/>
  <c r="C118" i="100"/>
  <c r="B365" i="100"/>
  <c r="C391" i="100"/>
  <c r="B506" i="100"/>
  <c r="B483" i="100"/>
  <c r="B319" i="100"/>
  <c r="C1069" i="100"/>
  <c r="C802" i="100"/>
  <c r="B1001" i="100"/>
  <c r="B1098" i="100"/>
  <c r="B355" i="100"/>
  <c r="B678" i="100"/>
  <c r="C1970" i="100"/>
  <c r="C343" i="100"/>
  <c r="B834" i="100"/>
  <c r="B932" i="100"/>
  <c r="B109" i="100"/>
  <c r="B1267" i="100"/>
  <c r="C948" i="100"/>
  <c r="B23" i="100"/>
  <c r="C1684" i="100"/>
  <c r="C1228" i="100"/>
  <c r="C1201" i="100"/>
  <c r="C214" i="100"/>
  <c r="C857" i="100"/>
  <c r="C1002" i="100"/>
  <c r="C749" i="100"/>
  <c r="B186" i="100"/>
  <c r="B733" i="100"/>
  <c r="C775" i="100"/>
  <c r="B99" i="100"/>
  <c r="B250" i="100"/>
  <c r="C1011" i="100"/>
  <c r="C421" i="100"/>
  <c r="B838" i="100"/>
  <c r="C67" i="100"/>
  <c r="B1259" i="100"/>
  <c r="B130" i="100"/>
  <c r="C1665" i="100"/>
  <c r="C1044" i="100"/>
  <c r="C440" i="100"/>
  <c r="C370" i="100"/>
  <c r="C1562" i="100"/>
  <c r="B49" i="100"/>
  <c r="C309" i="100"/>
  <c r="B1238" i="100"/>
  <c r="B1274" i="100"/>
  <c r="C248" i="100"/>
  <c r="C1015" i="100"/>
  <c r="C488" i="100"/>
  <c r="B1269" i="100"/>
  <c r="B86" i="100"/>
  <c r="B754" i="100"/>
  <c r="B132" i="100"/>
  <c r="C756" i="100"/>
  <c r="B491" i="100"/>
  <c r="B1987" i="100"/>
  <c r="C883" i="100"/>
  <c r="B1928" i="100"/>
  <c r="C465" i="100"/>
  <c r="B188" i="100"/>
  <c r="C44" i="100"/>
  <c r="B1797" i="100"/>
  <c r="B516" i="100"/>
  <c r="C586" i="100"/>
  <c r="C410" i="100"/>
  <c r="C527" i="100"/>
  <c r="C767" i="100"/>
  <c r="B944" i="100"/>
  <c r="C1212" i="100"/>
  <c r="C443" i="100"/>
  <c r="B732" i="100"/>
  <c r="B233" i="100"/>
  <c r="B1017" i="100"/>
  <c r="B144" i="100"/>
  <c r="B1270" i="100"/>
  <c r="C798" i="100"/>
  <c r="B925" i="100"/>
  <c r="C348" i="100"/>
  <c r="C397" i="100"/>
  <c r="C422" i="100"/>
  <c r="C669" i="100"/>
  <c r="B1136" i="100"/>
  <c r="C605" i="100"/>
  <c r="C595" i="100"/>
  <c r="B661" i="100"/>
  <c r="C232" i="100"/>
  <c r="C1698" i="100"/>
  <c r="B674" i="100"/>
  <c r="B1936" i="100"/>
  <c r="B922" i="100"/>
  <c r="B191" i="100"/>
  <c r="B1771" i="100"/>
  <c r="C233" i="100"/>
  <c r="C869" i="100"/>
  <c r="B1806" i="100"/>
  <c r="B237" i="100"/>
  <c r="C239" i="100"/>
  <c r="B1810" i="100"/>
  <c r="B264" i="100"/>
  <c r="C590" i="100"/>
  <c r="B56" i="100"/>
  <c r="B131" i="100"/>
  <c r="C129" i="100"/>
  <c r="C532" i="100"/>
  <c r="C1041" i="100"/>
  <c r="C894" i="100"/>
  <c r="B1605" i="100"/>
  <c r="B1608" i="100"/>
  <c r="C425" i="100"/>
  <c r="B106" i="100"/>
  <c r="C139" i="100"/>
  <c r="B984" i="100"/>
  <c r="C639" i="100"/>
  <c r="B402" i="100"/>
  <c r="C681" i="100"/>
  <c r="C458" i="100"/>
  <c r="B396" i="100"/>
  <c r="B15" i="100"/>
  <c r="B462" i="100"/>
  <c r="C355" i="100"/>
  <c r="B1811" i="100"/>
  <c r="B621" i="100"/>
  <c r="C887" i="100"/>
  <c r="C1980" i="100"/>
  <c r="C1078" i="100"/>
  <c r="B500" i="100"/>
  <c r="B230" i="100"/>
  <c r="C937" i="100"/>
  <c r="C282" i="100"/>
  <c r="C746" i="100"/>
  <c r="C725" i="100"/>
  <c r="C1018" i="100"/>
  <c r="B1230" i="100"/>
  <c r="B14" i="100"/>
  <c r="B1609" i="100"/>
  <c r="C963" i="100"/>
  <c r="B522" i="100"/>
  <c r="B157" i="100"/>
  <c r="B1251" i="100"/>
  <c r="C47" i="100"/>
  <c r="B1235" i="100"/>
  <c r="B997" i="100"/>
  <c r="B73" i="100"/>
  <c r="B1787" i="100"/>
  <c r="C451" i="100"/>
  <c r="C384" i="100"/>
  <c r="B880" i="100"/>
  <c r="C704" i="100"/>
  <c r="C189" i="100"/>
  <c r="B147" i="100"/>
  <c r="B382" i="100"/>
  <c r="C103" i="100"/>
  <c r="C1253" i="100"/>
  <c r="C833" i="100"/>
  <c r="C88" i="100"/>
  <c r="C1119" i="100"/>
  <c r="B16" i="100"/>
  <c r="C520" i="100"/>
  <c r="B279" i="100"/>
  <c r="C594" i="100"/>
  <c r="C1244" i="100"/>
  <c r="B456" i="100"/>
  <c r="C11" i="100"/>
  <c r="C86" i="100"/>
  <c r="B477" i="100"/>
  <c r="C1601" i="100"/>
  <c r="B953" i="100"/>
  <c r="B430" i="100"/>
  <c r="C307" i="100"/>
  <c r="B590" i="100"/>
  <c r="C274" i="100"/>
  <c r="B1234" i="100"/>
  <c r="C1246" i="100"/>
  <c r="C663" i="100"/>
  <c r="C737" i="100"/>
  <c r="B912" i="100"/>
  <c r="B125" i="100"/>
  <c r="C217" i="100"/>
  <c r="B858" i="100"/>
  <c r="C426" i="100"/>
  <c r="C127" i="100"/>
  <c r="C494" i="100"/>
  <c r="C1981" i="100"/>
  <c r="C392" i="100"/>
  <c r="B95" i="100"/>
  <c r="B795" i="100"/>
  <c r="C1198" i="100"/>
  <c r="B28" i="100"/>
  <c r="B189" i="100"/>
  <c r="C87" i="100"/>
  <c r="B1820" i="100"/>
  <c r="C1701" i="100"/>
  <c r="B313" i="100"/>
  <c r="C1169" i="100"/>
  <c r="B129" i="100"/>
  <c r="B50" i="100"/>
  <c r="C531" i="100"/>
  <c r="C841" i="100"/>
  <c r="C1956" i="100"/>
  <c r="B441" i="100"/>
  <c r="B1784" i="100"/>
  <c r="C660" i="100"/>
  <c r="C824" i="100"/>
  <c r="C821" i="100"/>
  <c r="C728" i="100"/>
  <c r="C1602" i="100"/>
  <c r="C1046" i="100"/>
  <c r="C1899" i="100"/>
  <c r="C1278" i="100"/>
  <c r="C656" i="100"/>
  <c r="B1161" i="100"/>
  <c r="C674" i="100"/>
  <c r="B141" i="100"/>
  <c r="B90" i="100"/>
  <c r="C535" i="100"/>
  <c r="B432" i="100"/>
  <c r="C1745" i="100"/>
  <c r="C378" i="100"/>
  <c r="B35" i="100"/>
  <c r="C608" i="100"/>
  <c r="B46" i="100"/>
  <c r="C560" i="100"/>
  <c r="C1230" i="100"/>
  <c r="C568" i="100"/>
  <c r="C714" i="100"/>
  <c r="C708" i="100"/>
  <c r="B945" i="100"/>
  <c r="C1033" i="100"/>
  <c r="B1852" i="100"/>
  <c r="B713" i="100"/>
  <c r="B706" i="100"/>
  <c r="B339" i="100"/>
  <c r="C1739" i="100"/>
  <c r="B561" i="100"/>
  <c r="C952" i="100"/>
  <c r="B1587" i="100"/>
  <c r="C483" i="100"/>
  <c r="B1218" i="100"/>
  <c r="B373" i="100"/>
  <c r="C1557" i="100"/>
  <c r="B457" i="100"/>
  <c r="C703" i="100"/>
  <c r="C330" i="100"/>
  <c r="C758" i="100"/>
  <c r="C1799" i="100"/>
  <c r="C1254" i="100"/>
  <c r="B1155" i="100"/>
  <c r="C1886" i="100"/>
  <c r="C415" i="100"/>
  <c r="C1843" i="100"/>
  <c r="B940" i="100"/>
  <c r="C978" i="100"/>
  <c r="C935" i="100"/>
  <c r="B285" i="100"/>
  <c r="B589" i="100"/>
  <c r="C794" i="100"/>
  <c r="B148" i="100"/>
  <c r="B1590" i="100"/>
  <c r="B255" i="100"/>
  <c r="C1906" i="100"/>
  <c r="C338" i="100"/>
  <c r="B344" i="100"/>
  <c r="C198" i="100"/>
  <c r="B1714" i="100"/>
  <c r="B774" i="100"/>
  <c r="C1004" i="100"/>
  <c r="C1754" i="100"/>
  <c r="B1853" i="100"/>
  <c r="B240" i="100"/>
  <c r="B821" i="100"/>
  <c r="B1200" i="100"/>
  <c r="B423" i="100"/>
  <c r="B490" i="100"/>
  <c r="C1026" i="100"/>
  <c r="C876" i="100"/>
  <c r="B1916" i="100"/>
  <c r="B514" i="100"/>
  <c r="B1199" i="100"/>
  <c r="B121" i="100"/>
  <c r="B1236" i="100"/>
  <c r="B21" i="100"/>
  <c r="C1124" i="100"/>
  <c r="C398" i="100"/>
  <c r="B878" i="100"/>
  <c r="B702" i="100"/>
  <c r="C1831" i="100"/>
  <c r="C977" i="100"/>
  <c r="C1218" i="100"/>
  <c r="B426" i="100"/>
  <c r="C695" i="100"/>
  <c r="C576" i="100"/>
  <c r="C1792" i="100"/>
  <c r="C1925" i="100"/>
  <c r="B1972" i="100"/>
  <c r="B235" i="100"/>
  <c r="C26" i="100"/>
  <c r="C238" i="100"/>
  <c r="C1152" i="100"/>
  <c r="B5" i="100"/>
  <c r="C1236" i="100"/>
  <c r="B276" i="100"/>
  <c r="B51" i="100"/>
  <c r="C983" i="100"/>
  <c r="C1157" i="100"/>
  <c r="B1788" i="100"/>
  <c r="C689" i="100"/>
  <c r="C593" i="100"/>
  <c r="C1833" i="100"/>
  <c r="C1723" i="100"/>
  <c r="C469" i="100"/>
  <c r="B284" i="100"/>
  <c r="C219" i="100"/>
  <c r="B1029" i="100"/>
  <c r="C644" i="100"/>
  <c r="C863" i="100"/>
  <c r="C812" i="100"/>
  <c r="C1047" i="100"/>
  <c r="C178" i="100"/>
  <c r="B804" i="100"/>
  <c r="B787" i="100"/>
  <c r="B85" i="100"/>
  <c r="C1566" i="100"/>
  <c r="B1111" i="100"/>
  <c r="C623" i="100"/>
  <c r="C838" i="100"/>
  <c r="B258" i="100"/>
  <c r="C878" i="100"/>
  <c r="B1711" i="100"/>
  <c r="C1920" i="100"/>
  <c r="C1787" i="100"/>
  <c r="B216" i="100"/>
  <c r="C521" i="100"/>
  <c r="C1211" i="100"/>
  <c r="B330" i="100"/>
  <c r="C56" i="100"/>
  <c r="B501" i="100"/>
  <c r="B448" i="100"/>
  <c r="C106" i="100"/>
  <c r="C249" i="100"/>
  <c r="B376" i="100"/>
  <c r="B982" i="100"/>
  <c r="C448" i="100"/>
  <c r="B1176" i="100"/>
  <c r="B9" i="100"/>
  <c r="C290" i="100"/>
  <c r="C419" i="100"/>
  <c r="C1229" i="100"/>
  <c r="C1712" i="100"/>
  <c r="C1042" i="100"/>
  <c r="B406" i="100"/>
  <c r="C65" i="100"/>
  <c r="B1557" i="100"/>
  <c r="B624" i="100"/>
  <c r="B819" i="100"/>
  <c r="B1890" i="100"/>
  <c r="C1145" i="100"/>
  <c r="C1967" i="100"/>
  <c r="B445" i="100"/>
  <c r="C213" i="100"/>
  <c r="B340" i="100"/>
  <c r="B22" i="100"/>
  <c r="B420" i="100"/>
  <c r="B437" i="100"/>
  <c r="B1042" i="100"/>
  <c r="C536" i="100"/>
  <c r="B752" i="100"/>
  <c r="B257" i="100"/>
  <c r="C256" i="100"/>
  <c r="C1075" i="100"/>
  <c r="B1793" i="100"/>
  <c r="C759" i="100"/>
  <c r="C729" i="100"/>
  <c r="B952" i="100"/>
  <c r="B640" i="100"/>
  <c r="B1056" i="100"/>
  <c r="C744" i="100"/>
  <c r="C762" i="100"/>
  <c r="C82" i="100"/>
  <c r="C1087" i="100"/>
  <c r="C524" i="100"/>
  <c r="B790" i="100"/>
  <c r="C1014" i="100"/>
  <c r="C325" i="100"/>
  <c r="B822" i="100"/>
  <c r="C77" i="100"/>
  <c r="B136" i="100"/>
  <c r="B1086" i="100"/>
  <c r="C779" i="100"/>
  <c r="B1046" i="100"/>
  <c r="B82" i="100"/>
  <c r="C501" i="100"/>
  <c r="C247" i="100"/>
  <c r="C1584" i="100"/>
  <c r="C994" i="100"/>
  <c r="C529" i="100"/>
  <c r="C1023" i="100"/>
  <c r="B825" i="100"/>
  <c r="B414" i="100"/>
  <c r="B421" i="100"/>
  <c r="B1596" i="100"/>
  <c r="B810" i="100"/>
  <c r="B393" i="100"/>
  <c r="B292" i="100"/>
  <c r="B1071" i="100"/>
  <c r="B395" i="100"/>
  <c r="C570" i="100"/>
  <c r="C1245" i="100"/>
  <c r="C1823" i="100"/>
  <c r="B353" i="100"/>
  <c r="B474" i="100"/>
  <c r="C885" i="100"/>
  <c r="C204" i="100"/>
  <c r="B1598" i="100"/>
  <c r="B797" i="100"/>
  <c r="B594" i="100"/>
  <c r="B891" i="100"/>
  <c r="C279" i="100"/>
  <c r="C265" i="100"/>
  <c r="B653" i="100"/>
  <c r="B1059" i="100"/>
  <c r="B1889" i="100"/>
  <c r="C191" i="100"/>
  <c r="C1610" i="100"/>
  <c r="C825" i="100"/>
  <c r="C1073" i="100"/>
  <c r="C360" i="100"/>
  <c r="C1790" i="100"/>
  <c r="B47" i="100"/>
  <c r="C497" i="100"/>
  <c r="B18" i="100"/>
  <c r="C457" i="100"/>
  <c r="C364" i="100"/>
  <c r="B897" i="100"/>
  <c r="B1140" i="100"/>
  <c r="C93" i="100"/>
  <c r="B1823" i="100"/>
  <c r="B1252" i="100"/>
  <c r="B1281" i="100"/>
  <c r="C270" i="100"/>
  <c r="B1562" i="100"/>
  <c r="C526" i="100"/>
  <c r="C718" i="100"/>
  <c r="C736" i="100"/>
  <c r="B458" i="100"/>
  <c r="C550" i="100"/>
  <c r="C629" i="100"/>
  <c r="C1781" i="100"/>
  <c r="B1132" i="100"/>
  <c r="C1643" i="100"/>
  <c r="B620" i="100"/>
  <c r="B398" i="100"/>
  <c r="C489" i="100"/>
  <c r="C379" i="100"/>
  <c r="B1224" i="100"/>
  <c r="B1934" i="100"/>
  <c r="B1698" i="100"/>
  <c r="B281" i="100"/>
  <c r="B1817" i="100"/>
  <c r="C786" i="100"/>
  <c r="C1178" i="100"/>
  <c r="C991" i="100"/>
  <c r="C1045" i="100"/>
  <c r="B210" i="100"/>
  <c r="C424" i="100"/>
  <c r="C1869" i="100"/>
  <c r="B302" i="100"/>
  <c r="B1759" i="100"/>
  <c r="C607" i="100"/>
  <c r="B1006" i="100"/>
  <c r="C387" i="100"/>
  <c r="C236" i="100"/>
  <c r="B1210" i="100"/>
  <c r="B115" i="100"/>
  <c r="C1893" i="100"/>
  <c r="C1112" i="100"/>
  <c r="C846" i="100"/>
  <c r="C113" i="100"/>
  <c r="C51" i="100"/>
  <c r="B357" i="100"/>
  <c r="B892" i="100"/>
  <c r="C799" i="100"/>
  <c r="C449" i="100"/>
  <c r="B800" i="100"/>
  <c r="C1807" i="100"/>
  <c r="B1254" i="100"/>
  <c r="C791" i="100"/>
  <c r="B844" i="100"/>
  <c r="B372" i="100"/>
  <c r="C1818" i="100"/>
  <c r="C224" i="100"/>
  <c r="B317" i="100"/>
  <c r="C1812" i="100"/>
  <c r="C215" i="100"/>
  <c r="C345" i="100"/>
  <c r="B1076" i="100"/>
  <c r="B57" i="100"/>
  <c r="C333" i="100"/>
  <c r="C114" i="100"/>
  <c r="C1806" i="100"/>
  <c r="C515" i="100"/>
  <c r="B488" i="100"/>
  <c r="C1672" i="100"/>
  <c r="C303" i="100"/>
  <c r="C100" i="100"/>
  <c r="C46" i="100"/>
  <c r="C1917" i="100"/>
  <c r="C1976" i="100"/>
  <c r="B1988" i="100"/>
  <c r="C1077" i="100"/>
  <c r="C251" i="100"/>
  <c r="C503" i="100"/>
  <c r="B331" i="100"/>
  <c r="C1138" i="100"/>
  <c r="B347" i="100"/>
  <c r="C257" i="100"/>
  <c r="C337" i="100"/>
  <c r="C873" i="100"/>
  <c r="C1608" i="100"/>
  <c r="C1693" i="100"/>
  <c r="C98" i="100"/>
  <c r="B1961" i="100"/>
  <c r="B764" i="100"/>
  <c r="C1757" i="100"/>
  <c r="B1983" i="100"/>
  <c r="B377" i="100"/>
  <c r="C1819" i="100"/>
  <c r="C1848" i="100"/>
  <c r="B1275" i="100"/>
  <c r="B636" i="100"/>
  <c r="B877" i="100"/>
  <c r="C965" i="100"/>
  <c r="B1020" i="100"/>
  <c r="C1975" i="100"/>
  <c r="B580" i="100"/>
  <c r="C1017" i="100"/>
  <c r="C1173" i="100"/>
  <c r="B1231" i="100"/>
  <c r="C1122" i="100"/>
  <c r="C177" i="100"/>
  <c r="C395" i="100"/>
  <c r="B1833" i="100"/>
  <c r="C555" i="100"/>
  <c r="C789" i="100"/>
  <c r="C1216" i="100"/>
  <c r="C1084" i="100"/>
  <c r="C686" i="100"/>
  <c r="B1249" i="100"/>
  <c r="B958" i="100"/>
  <c r="B747" i="100"/>
  <c r="C409" i="100"/>
  <c r="B156" i="100"/>
  <c r="B796" i="100"/>
  <c r="B727" i="100"/>
  <c r="B537" i="100"/>
  <c r="C1686" i="100"/>
  <c r="C1255" i="100"/>
  <c r="C112" i="100"/>
  <c r="B1052" i="100"/>
  <c r="C1104" i="100"/>
  <c r="B1687" i="100"/>
  <c r="B1182" i="100"/>
  <c r="C1051" i="100"/>
  <c r="C768" i="100"/>
  <c r="B632" i="100"/>
  <c r="C797" i="100"/>
  <c r="B1246" i="100"/>
  <c r="C220" i="100"/>
  <c r="B1279" i="100"/>
  <c r="C295" i="100"/>
  <c r="C792" i="100"/>
  <c r="C205" i="100"/>
  <c r="C401" i="100"/>
  <c r="C1853" i="100"/>
  <c r="C192" i="100"/>
  <c r="B992" i="100"/>
  <c r="B1720" i="100"/>
  <c r="C135" i="100"/>
  <c r="B616" i="100"/>
  <c r="C1149" i="100"/>
  <c r="B274" i="100"/>
  <c r="C992" i="100"/>
  <c r="B1125" i="100"/>
  <c r="B548" i="100"/>
  <c r="B1835" i="100"/>
  <c r="C561" i="100"/>
  <c r="B1033" i="100"/>
  <c r="B1963" i="100"/>
  <c r="C518" i="100"/>
  <c r="B908" i="100"/>
  <c r="B818" i="100"/>
  <c r="C59" i="100"/>
  <c r="C956" i="100"/>
  <c r="C473" i="100"/>
  <c r="C1924" i="100"/>
  <c r="B1722" i="100"/>
  <c r="C1090" i="100"/>
  <c r="C630" i="100"/>
  <c r="C1120" i="100"/>
  <c r="C836" i="100"/>
  <c r="C1156" i="100"/>
  <c r="B1967" i="100"/>
  <c r="C120" i="100"/>
  <c r="B1808" i="100"/>
  <c r="B1073" i="100"/>
  <c r="B1107" i="100"/>
  <c r="B290" i="100"/>
  <c r="C631" i="100"/>
  <c r="B973" i="100"/>
  <c r="C1096" i="100"/>
  <c r="C438" i="100"/>
  <c r="B1003" i="100"/>
  <c r="C676" i="100"/>
  <c r="B1002" i="100"/>
  <c r="B249" i="100"/>
  <c r="B1583" i="100"/>
  <c r="B1689" i="100"/>
  <c r="B1181" i="100"/>
  <c r="B1016" i="100"/>
  <c r="C1922" i="100"/>
  <c r="C72" i="100"/>
  <c r="C170" i="100"/>
  <c r="B1830" i="100"/>
  <c r="B799" i="100"/>
  <c r="B875" i="100"/>
  <c r="C1032" i="100"/>
  <c r="C1188" i="100"/>
  <c r="B1665" i="100"/>
  <c r="C3" i="100"/>
  <c r="C241" i="100"/>
  <c r="B608" i="100"/>
  <c r="B1790" i="100"/>
  <c r="B1174" i="100"/>
  <c r="C564" i="100"/>
  <c r="B1927" i="100"/>
  <c r="B316" i="100"/>
  <c r="C960" i="100"/>
  <c r="C276" i="100"/>
  <c r="B201" i="100"/>
  <c r="B52" i="100"/>
  <c r="B776" i="100"/>
  <c r="B283" i="100"/>
  <c r="B694" i="100"/>
  <c r="C1957" i="100"/>
  <c r="B1978" i="100"/>
  <c r="C435" i="100"/>
  <c r="C997" i="100"/>
  <c r="B198" i="100"/>
  <c r="C376" i="100"/>
  <c r="C441" i="100"/>
  <c r="C60" i="100"/>
  <c r="C311" i="100"/>
  <c r="C25" i="100"/>
  <c r="B812" i="100"/>
  <c r="C1963" i="100"/>
  <c r="B248" i="100"/>
  <c r="C61" i="100"/>
  <c r="B1567" i="100"/>
  <c r="B1031" i="100"/>
  <c r="C1675" i="100"/>
  <c r="B1055" i="100"/>
  <c r="B1668" i="100"/>
  <c r="B1981" i="100"/>
  <c r="C946" i="100"/>
  <c r="C1131" i="100"/>
  <c r="B1898" i="100"/>
  <c r="C584" i="100"/>
  <c r="B499" i="100"/>
  <c r="C1764" i="100"/>
  <c r="C755" i="100"/>
  <c r="B588" i="100"/>
  <c r="B771" i="100"/>
  <c r="B1897" i="100"/>
  <c r="B832" i="100"/>
  <c r="C273" i="100"/>
  <c r="C1126" i="100"/>
  <c r="C694" i="100"/>
  <c r="C761" i="100"/>
  <c r="B680" i="100"/>
  <c r="B1151" i="100"/>
  <c r="B659" i="100"/>
  <c r="C1160" i="100"/>
  <c r="C207" i="100"/>
  <c r="C853" i="100"/>
  <c r="B362" i="100"/>
  <c r="C1921" i="100"/>
  <c r="B1741" i="100"/>
  <c r="C1184" i="100"/>
  <c r="C479" i="100"/>
  <c r="B146" i="100"/>
  <c r="B1039" i="100"/>
  <c r="B1560" i="100"/>
  <c r="C1679" i="100"/>
  <c r="B1974" i="100"/>
  <c r="C1256" i="100"/>
  <c r="C1710" i="100"/>
  <c r="B634" i="100"/>
  <c r="C1742" i="100"/>
  <c r="C1936" i="100"/>
  <c r="C1676" i="100"/>
  <c r="B1831" i="100"/>
  <c r="C1939" i="100"/>
  <c r="C645" i="100"/>
  <c r="B1099" i="100"/>
  <c r="C899" i="100"/>
  <c r="C1003" i="100"/>
  <c r="C1969" i="100"/>
  <c r="B1966" i="100"/>
  <c r="C844" i="100"/>
  <c r="B508" i="100"/>
  <c r="C1257" i="100"/>
  <c r="B1105" i="100"/>
  <c r="B907" i="100"/>
  <c r="B1803" i="100"/>
  <c r="C383" i="100"/>
  <c r="C1816" i="100"/>
  <c r="C634" i="100"/>
  <c r="B1157" i="100"/>
  <c r="B419" i="100"/>
  <c r="B484" i="100"/>
  <c r="C696" i="100"/>
  <c r="B1674" i="100"/>
  <c r="B1940" i="100"/>
  <c r="C889" i="100"/>
  <c r="B938" i="100"/>
  <c r="C123" i="100"/>
  <c r="C752" i="100"/>
  <c r="B1734" i="100"/>
  <c r="B1791" i="100"/>
  <c r="B134" i="100"/>
  <c r="B1943" i="100"/>
  <c r="B399" i="100"/>
  <c r="C519" i="100"/>
  <c r="B251" i="100"/>
  <c r="B581" i="100"/>
  <c r="B890" i="100"/>
  <c r="C1105" i="100"/>
  <c r="C658" i="100"/>
  <c r="C973" i="100"/>
  <c r="C327" i="100"/>
  <c r="C1022" i="100"/>
  <c r="B177" i="100"/>
  <c r="C577" i="100"/>
  <c r="B122" i="100"/>
  <c r="C1252" i="100"/>
  <c r="B1262" i="100"/>
  <c r="B1242" i="100"/>
  <c r="B503" i="100"/>
  <c r="C319" i="100"/>
  <c r="C837" i="100"/>
  <c r="B642" i="100"/>
  <c r="C1859" i="100"/>
  <c r="C1207" i="100"/>
  <c r="B647" i="100"/>
  <c r="C1103" i="100"/>
  <c r="C1887" i="100"/>
  <c r="B88" i="100"/>
  <c r="B927" i="100"/>
  <c r="B725" i="100"/>
  <c r="B728" i="100"/>
  <c r="B1273" i="100"/>
  <c r="C80" i="100"/>
  <c r="B352" i="100"/>
  <c r="B1085" i="100"/>
  <c r="B12" i="100"/>
  <c r="C252" i="100"/>
  <c r="C175" i="100"/>
  <c r="C321" i="100"/>
  <c r="C1093" i="100"/>
  <c r="B553" i="100"/>
  <c r="C437" i="100"/>
  <c r="B1023" i="100"/>
  <c r="C136" i="100"/>
  <c r="C471" i="100"/>
  <c r="B378" i="100"/>
  <c r="C144" i="100"/>
  <c r="B1606" i="100"/>
  <c r="B1149" i="100"/>
  <c r="B505" i="100"/>
  <c r="B641" i="100"/>
  <c r="C890" i="100"/>
  <c r="C661" i="100"/>
  <c r="B870" i="100"/>
  <c r="C1717" i="100"/>
  <c r="C1720" i="100"/>
  <c r="C477" i="100"/>
  <c r="B1829" i="100"/>
  <c r="C445" i="100"/>
  <c r="B394" i="100"/>
  <c r="B1930" i="100"/>
  <c r="B849" i="100"/>
  <c r="C1884" i="100"/>
  <c r="C1817" i="100"/>
  <c r="B675" i="100"/>
  <c r="C1148" i="100"/>
  <c r="C284" i="100"/>
  <c r="C1810" i="100"/>
  <c r="C268" i="100"/>
  <c r="C976" i="100"/>
  <c r="C36" i="100"/>
  <c r="C1735" i="100"/>
  <c r="C95" i="100"/>
  <c r="C315" i="100"/>
  <c r="C143" i="100"/>
  <c r="B424" i="100"/>
  <c r="B1667" i="100"/>
  <c r="C840" i="100"/>
  <c r="B1566" i="100"/>
  <c r="B911" i="100"/>
  <c r="B1843" i="100"/>
  <c r="B1084" i="100"/>
  <c r="B715" i="100"/>
  <c r="B1699" i="100"/>
  <c r="B37" i="100"/>
  <c r="C1913" i="100"/>
  <c r="C417" i="100"/>
  <c r="C598" i="100"/>
  <c r="B609" i="100"/>
  <c r="C1798" i="100"/>
  <c r="C1838" i="100"/>
  <c r="C102" i="100"/>
  <c r="C1793" i="100"/>
  <c r="C910" i="100"/>
  <c r="C1262" i="100"/>
  <c r="B673" i="100"/>
  <c r="C1182" i="100"/>
  <c r="B325" i="100"/>
  <c r="B212" i="100"/>
  <c r="C1987" i="100"/>
  <c r="C1583" i="100"/>
  <c r="B1585" i="100"/>
  <c r="B518" i="100"/>
  <c r="B1805" i="100"/>
  <c r="C613" i="100"/>
  <c r="B1959" i="100"/>
  <c r="C510" i="100"/>
  <c r="C342" i="100"/>
  <c r="B717" i="100"/>
  <c r="C1778" i="100"/>
  <c r="C1788" i="100"/>
  <c r="B1780" i="100"/>
  <c r="B1131" i="100"/>
  <c r="B937" i="100"/>
  <c r="B79" i="100"/>
  <c r="B1809" i="100"/>
  <c r="C413" i="100"/>
  <c r="C428" i="100"/>
  <c r="B486" i="100"/>
  <c r="C167" i="100"/>
  <c r="B543" i="100"/>
  <c r="C1031" i="100"/>
  <c r="B1610" i="100"/>
  <c r="B152" i="100"/>
  <c r="C1130" i="100"/>
  <c r="C132" i="100"/>
  <c r="C234" i="100"/>
  <c r="C1564" i="100"/>
  <c r="B978" i="100"/>
  <c r="B914" i="100"/>
  <c r="C1707" i="100"/>
  <c r="C1161" i="100"/>
  <c r="B610" i="100"/>
  <c r="B731" i="100"/>
  <c r="B200" i="100"/>
  <c r="B541" i="100"/>
  <c r="C1187" i="100"/>
  <c r="B883" i="100"/>
  <c r="B758" i="100"/>
  <c r="B1175" i="100"/>
  <c r="B578" i="100"/>
  <c r="B1761" i="100"/>
  <c r="C326" i="100"/>
  <c r="B301" i="100"/>
  <c r="C75" i="100"/>
  <c r="B528" i="100"/>
  <c r="C99" i="100"/>
  <c r="B268" i="100"/>
  <c r="B1185" i="100"/>
  <c r="B639" i="100"/>
  <c r="C1001" i="100"/>
  <c r="B1564" i="100"/>
  <c r="B705" i="100"/>
  <c r="C405" i="100"/>
  <c r="B254" i="100"/>
  <c r="C847" i="100"/>
  <c r="C197" i="100"/>
  <c r="B443" i="100"/>
  <c r="C1114" i="100"/>
  <c r="C283" i="100"/>
  <c r="C372" i="100"/>
  <c r="B498" i="100"/>
  <c r="B167" i="100"/>
  <c r="C829" i="100"/>
  <c r="B1058" i="100"/>
  <c r="C1875" i="100"/>
  <c r="C760" i="100"/>
  <c r="C544" i="100"/>
  <c r="C339" i="100"/>
  <c r="C180" i="100"/>
  <c r="B487" i="100"/>
  <c r="B197" i="100"/>
  <c r="C218" i="100"/>
  <c r="B1718" i="100"/>
  <c r="B1796" i="100"/>
  <c r="B464" i="100"/>
  <c r="C225" i="100"/>
  <c r="C434" i="100"/>
  <c r="C125" i="100"/>
  <c r="B429" i="100"/>
  <c r="C151" i="100"/>
  <c r="B650" i="100"/>
  <c r="B1021" i="100"/>
  <c r="C1240" i="100"/>
  <c r="C399" i="100"/>
  <c r="C1737" i="100"/>
  <c r="C317" i="100"/>
  <c r="C706" i="100"/>
  <c r="C64" i="100"/>
  <c r="B954" i="100"/>
  <c r="B599" i="100"/>
  <c r="B1802" i="100"/>
  <c r="B287" i="100"/>
  <c r="B494" i="100"/>
  <c r="B618" i="100"/>
  <c r="C306" i="100"/>
  <c r="B329" i="100"/>
  <c r="C941" i="100"/>
  <c r="B1192" i="100"/>
  <c r="B137" i="100"/>
  <c r="B995" i="100"/>
  <c r="C1699" i="100"/>
  <c r="B89" i="100"/>
  <c r="C1181" i="100"/>
  <c r="B638" i="100"/>
  <c r="C1919" i="100"/>
  <c r="B408" i="100"/>
  <c r="B615" i="100"/>
  <c r="C1561" i="100"/>
  <c r="B1746" i="100"/>
  <c r="B1089" i="100"/>
  <c r="B1716" i="100"/>
  <c r="C1827" i="100"/>
  <c r="B1957" i="100"/>
  <c r="B370" i="100"/>
  <c r="C1733" i="100"/>
  <c r="C753" i="100"/>
  <c r="C487" i="100"/>
  <c r="B805" i="100"/>
  <c r="B716" i="100"/>
  <c r="C1563" i="100"/>
  <c r="C921" i="100"/>
  <c r="B358" i="100"/>
  <c r="B1688" i="100"/>
  <c r="C1129" i="100"/>
  <c r="B627" i="100"/>
  <c r="B1194" i="100"/>
  <c r="B662" i="100"/>
  <c r="B1130" i="100"/>
  <c r="B648" i="100"/>
  <c r="C235" i="100"/>
  <c r="C185" i="100"/>
  <c r="C1772" i="100"/>
  <c r="B244" i="100"/>
  <c r="C971" i="100"/>
  <c r="C1121" i="100"/>
  <c r="B596" i="100"/>
  <c r="B318" i="100"/>
  <c r="C108" i="100"/>
  <c r="C936" i="100"/>
  <c r="C1789" i="100"/>
  <c r="B841" i="100"/>
  <c r="C502" i="100"/>
  <c r="B245" i="100"/>
  <c r="B823" i="100"/>
  <c r="B1126" i="100"/>
  <c r="C1912" i="100"/>
  <c r="C1731" i="100"/>
  <c r="C563" i="100"/>
  <c r="B1278" i="100"/>
  <c r="B1022" i="100"/>
  <c r="B323" i="100"/>
  <c r="C993" i="100"/>
  <c r="B469" i="100"/>
  <c r="C1183" i="100"/>
  <c r="C1154" i="100"/>
  <c r="C1040" i="100"/>
  <c r="C968" i="100"/>
  <c r="C592" i="100"/>
  <c r="C801" i="100"/>
  <c r="C772" i="100"/>
  <c r="C647" i="100"/>
  <c r="B1221" i="100"/>
  <c r="C831" i="100"/>
  <c r="B74" i="100"/>
  <c r="C557" i="100"/>
  <c r="C1815" i="100"/>
  <c r="B1057" i="100"/>
  <c r="C200" i="100"/>
  <c r="C1234" i="100"/>
  <c r="B901" i="100"/>
  <c r="C709" i="100"/>
  <c r="C353" i="100"/>
  <c r="C482" i="100"/>
  <c r="B756" i="100"/>
  <c r="B468" i="100"/>
  <c r="B1037" i="100"/>
  <c r="C1741" i="100"/>
  <c r="C329" i="100"/>
  <c r="C1058" i="100"/>
  <c r="C926" i="100"/>
  <c r="C430" i="100"/>
  <c r="C1703" i="100"/>
  <c r="B723" i="100"/>
  <c r="B1096" i="100"/>
  <c r="C492" i="100"/>
  <c r="B412" i="100"/>
  <c r="C186" i="100"/>
  <c r="B1975" i="100"/>
  <c r="C558" i="100"/>
  <c r="B1932" i="100"/>
  <c r="B1744" i="100"/>
  <c r="C1037" i="100"/>
  <c r="C782" i="100"/>
  <c r="C363" i="100"/>
  <c r="B1075" i="100"/>
  <c r="B568" i="100"/>
  <c r="C1210" i="100"/>
  <c r="B1685" i="100"/>
  <c r="C285" i="100"/>
  <c r="C429" i="100"/>
  <c r="C266" i="100"/>
  <c r="B1642" i="100"/>
  <c r="B956" i="100"/>
  <c r="C385" i="100"/>
  <c r="B213" i="100"/>
  <c r="B1193" i="100"/>
  <c r="C1209" i="100"/>
  <c r="B557" i="100"/>
  <c r="C323" i="100"/>
  <c r="B1859" i="100"/>
  <c r="B987" i="100"/>
  <c r="B772" i="100"/>
  <c r="C750" i="100"/>
  <c r="C1709" i="100"/>
  <c r="B342" i="100"/>
  <c r="C713" i="100"/>
  <c r="C1088" i="100"/>
  <c r="B404" i="100"/>
  <c r="B1250" i="100"/>
  <c r="C331" i="100"/>
  <c r="B864" i="100"/>
  <c r="C796" i="100"/>
  <c r="B359" i="100"/>
  <c r="B153" i="100"/>
  <c r="B1241" i="100"/>
  <c r="B1717" i="100"/>
  <c r="C888" i="100"/>
  <c r="C208" i="100"/>
  <c r="B1069" i="100"/>
  <c r="C1983" i="100"/>
  <c r="B743" i="100"/>
  <c r="B1920" i="100"/>
  <c r="B1044" i="100"/>
  <c r="C1554" i="100"/>
  <c r="B341" i="100"/>
  <c r="B478" i="100"/>
  <c r="B366" i="100"/>
  <c r="B724" i="100"/>
  <c r="C651" i="100"/>
  <c r="B1565" i="100"/>
  <c r="B33" i="100"/>
  <c r="C1666" i="100"/>
  <c r="C600" i="100"/>
  <c r="B920" i="100"/>
  <c r="C1803" i="100"/>
  <c r="C171" i="100"/>
  <c r="B336" i="100"/>
  <c r="C119" i="100"/>
  <c r="C1165" i="100"/>
  <c r="C897" i="100"/>
  <c r="B525" i="100"/>
  <c r="B363" i="100"/>
  <c r="C620" i="100"/>
  <c r="B1693" i="100"/>
  <c r="B965" i="100"/>
  <c r="B917" i="100"/>
  <c r="B598" i="100"/>
  <c r="B1849" i="100"/>
  <c r="C914" i="100"/>
  <c r="C1768" i="100"/>
  <c r="C543" i="100"/>
  <c r="B217" i="100"/>
  <c r="B242" i="100"/>
  <c r="B1257" i="100"/>
  <c r="B703" i="100"/>
  <c r="B184" i="100"/>
  <c r="C727" i="100"/>
  <c r="C1727" i="100"/>
  <c r="C635" i="100"/>
  <c r="C1177" i="100"/>
  <c r="B1804" i="100"/>
  <c r="C1202" i="100"/>
  <c r="B775" i="100"/>
  <c r="B1034" i="100"/>
  <c r="B704" i="100"/>
  <c r="C1836" i="100"/>
  <c r="B1692" i="100"/>
  <c r="B454" i="100"/>
  <c r="C740" i="100"/>
  <c r="C1060" i="100"/>
  <c r="C472" i="100"/>
  <c r="C187" i="100"/>
  <c r="C670" i="100"/>
  <c r="C813" i="100"/>
  <c r="B1156" i="100"/>
  <c r="B860" i="100"/>
  <c r="B1697" i="100"/>
  <c r="B1159" i="100"/>
  <c r="B321" i="100"/>
  <c r="B275" i="100"/>
  <c r="C1748" i="100"/>
  <c r="B1142" i="100"/>
  <c r="B1842" i="100"/>
  <c r="C181" i="100"/>
  <c r="B676" i="100"/>
  <c r="C221" i="100"/>
  <c r="C720" i="100"/>
  <c r="B933" i="100"/>
  <c r="B736" i="100"/>
  <c r="B48" i="100"/>
  <c r="B511" i="100"/>
  <c r="C461" i="100"/>
  <c r="C1215" i="100"/>
  <c r="C668" i="100"/>
  <c r="B851" i="100"/>
  <c r="C1127" i="100"/>
  <c r="C1223" i="100"/>
  <c r="B798" i="100"/>
  <c r="C1070" i="100"/>
  <c r="C79" i="100"/>
  <c r="C848" i="100"/>
  <c r="C142" i="100"/>
  <c r="C1568" i="100"/>
  <c r="B1215" i="100"/>
  <c r="C27" i="100"/>
  <c r="C149" i="100"/>
  <c r="C73" i="100"/>
  <c r="C193" i="100"/>
  <c r="C742" i="100"/>
  <c r="B631" i="100"/>
  <c r="B1750" i="100"/>
  <c r="B449" i="100"/>
  <c r="C287" i="100"/>
  <c r="C715" i="100"/>
  <c r="B208" i="100"/>
  <c r="C1830" i="100"/>
  <c r="B1712" i="100"/>
  <c r="B1048" i="100"/>
  <c r="B630" i="100"/>
  <c r="C1962" i="100"/>
  <c r="B1214" i="100"/>
  <c r="B1190" i="100"/>
  <c r="C318" i="100"/>
  <c r="B876" i="100"/>
  <c r="B471" i="100"/>
  <c r="C1678" i="100"/>
  <c r="C1141" i="100"/>
  <c r="B1776" i="100"/>
  <c r="B1047" i="100"/>
  <c r="B769" i="100"/>
  <c r="C1834" i="100"/>
  <c r="C1559" i="100"/>
  <c r="B1825" i="100"/>
  <c r="B1138" i="100"/>
  <c r="B1980" i="100"/>
  <c r="B759" i="100"/>
  <c r="B1682" i="100"/>
  <c r="B1226" i="100"/>
  <c r="C427" i="100"/>
  <c r="B1053" i="100"/>
  <c r="B817" i="100"/>
  <c r="C1940" i="100"/>
  <c r="B692" i="100"/>
  <c r="C269" i="100"/>
  <c r="C1760" i="100"/>
  <c r="B979" i="100"/>
  <c r="B126" i="100"/>
  <c r="C901" i="100"/>
  <c r="B991" i="100"/>
  <c r="B1094" i="100"/>
  <c r="C1681" i="100"/>
  <c r="C659" i="100"/>
  <c r="B367" i="100"/>
  <c r="B949" i="100"/>
  <c r="C776" i="100"/>
  <c r="B1672" i="100"/>
  <c r="B1888" i="100"/>
  <c r="C1193" i="100"/>
  <c r="B1962" i="100"/>
  <c r="B1198" i="100"/>
  <c r="C115" i="100"/>
  <c r="B43" i="100"/>
  <c r="C55" i="100"/>
  <c r="C642" i="100"/>
  <c r="B1160" i="100"/>
  <c r="B1896" i="100"/>
  <c r="B585" i="100"/>
  <c r="C505" i="100"/>
  <c r="B176" i="100"/>
  <c r="C646" i="100"/>
  <c r="C1194" i="100"/>
  <c r="B219" i="100"/>
  <c r="C245" i="100"/>
  <c r="C1226" i="100"/>
  <c r="C24" i="100"/>
  <c r="B879" i="100"/>
  <c r="C246" i="100"/>
  <c r="C259" i="100"/>
  <c r="B690" i="100"/>
  <c r="C731" i="100"/>
  <c r="C632" i="100"/>
  <c r="C541" i="100"/>
  <c r="C619" i="100"/>
  <c r="B1749" i="100"/>
  <c r="C463" i="100"/>
  <c r="C895" i="100"/>
  <c r="B888" i="100"/>
  <c r="B83" i="100"/>
  <c r="B1895" i="100"/>
  <c r="B1971" i="100"/>
  <c r="C931" i="100"/>
  <c r="B1807" i="100"/>
  <c r="B853" i="100"/>
  <c r="B734" i="100"/>
  <c r="B714" i="100"/>
  <c r="B1188" i="100"/>
  <c r="C1006" i="100"/>
  <c r="C121" i="100"/>
  <c r="B1732" i="100"/>
  <c r="B651" i="100"/>
  <c r="B1209" i="100"/>
  <c r="C915" i="100"/>
  <c r="B221" i="100"/>
  <c r="C1849" i="100"/>
  <c r="B1196" i="100"/>
  <c r="C1099" i="100"/>
  <c r="B1026" i="100"/>
  <c r="C1258" i="100"/>
  <c r="C33" i="100"/>
  <c r="C22" i="100"/>
  <c r="C1746" i="100"/>
  <c r="C1106" i="100"/>
  <c r="B1970" i="100"/>
  <c r="C1780" i="100"/>
  <c r="B571" i="100"/>
  <c r="C927" i="100"/>
  <c r="B1163" i="100"/>
  <c r="C1142" i="100"/>
  <c r="C1259" i="100"/>
  <c r="C275" i="100"/>
  <c r="B983" i="100"/>
  <c r="B1941" i="100"/>
  <c r="B685" i="100"/>
  <c r="B531" i="100"/>
  <c r="C957" i="100"/>
  <c r="C1923" i="100"/>
  <c r="C173" i="100"/>
  <c r="C1227" i="100"/>
  <c r="C1898" i="100"/>
  <c r="C1982" i="100"/>
  <c r="C951" i="100"/>
  <c r="C393" i="100"/>
  <c r="B1586" i="100"/>
  <c r="B948" i="100"/>
  <c r="B116" i="100"/>
  <c r="B990" i="100"/>
  <c r="B92" i="100"/>
  <c r="B1669" i="100"/>
  <c r="B173" i="100"/>
  <c r="C486" i="100"/>
  <c r="C1055" i="100"/>
  <c r="C1680" i="100"/>
  <c r="C865" i="100"/>
  <c r="C1150" i="100"/>
  <c r="C485" i="100"/>
  <c r="B263" i="100"/>
  <c r="B32" i="100"/>
  <c r="C953" i="100"/>
  <c r="C195" i="100"/>
  <c r="B745" i="100"/>
  <c r="C260" i="100"/>
  <c r="B1050" i="100"/>
  <c r="C1164" i="100"/>
  <c r="B755" i="100"/>
  <c r="C1894" i="100"/>
  <c r="B1091" i="100"/>
  <c r="B1589" i="100"/>
  <c r="C1954" i="100"/>
  <c r="B1673" i="100"/>
  <c r="C932" i="100"/>
  <c r="C29" i="100"/>
  <c r="C933" i="100"/>
  <c r="C551" i="100"/>
  <c r="C1974" i="100"/>
  <c r="C616" i="100"/>
  <c r="C633" i="100"/>
  <c r="C85" i="100"/>
  <c r="B270" i="100"/>
  <c r="C839" i="100"/>
  <c r="C1614" i="100"/>
  <c r="B1724" i="100"/>
  <c r="B1127" i="100"/>
  <c r="B63" i="100"/>
  <c r="B1764" i="100"/>
  <c r="B1168" i="100"/>
  <c r="C773" i="100"/>
  <c r="B196" i="100"/>
  <c r="C1749" i="100"/>
  <c r="C1683" i="100"/>
  <c r="C1704" i="100"/>
  <c r="C32" i="100"/>
  <c r="C1179" i="100"/>
  <c r="B753" i="100"/>
  <c r="C1667" i="100"/>
  <c r="B1984" i="100"/>
  <c r="B572" i="100"/>
  <c r="C621" i="100"/>
  <c r="C1984" i="100"/>
  <c r="C987" i="100"/>
  <c r="C835" i="100"/>
  <c r="B1836" i="100"/>
  <c r="C938" i="100"/>
  <c r="B842" i="100"/>
  <c r="C1670" i="100"/>
  <c r="C381" i="100"/>
  <c r="C1282" i="100"/>
  <c r="B993" i="100"/>
  <c r="B906" i="100"/>
  <c r="B1894" i="100"/>
  <c r="B1948" i="100"/>
  <c r="C203" i="100"/>
  <c r="B1726" i="100"/>
  <c r="C877" i="100"/>
  <c r="B1068" i="100"/>
  <c r="B698" i="100"/>
  <c r="C1685" i="100"/>
  <c r="C513" i="100"/>
  <c r="C1728" i="100"/>
  <c r="C1109" i="100"/>
  <c r="B574" i="100"/>
  <c r="B1263" i="100"/>
  <c r="C1888" i="100"/>
  <c r="C1074" i="100"/>
  <c r="B607" i="100"/>
  <c r="B964" i="100"/>
  <c r="C834" i="100"/>
  <c r="C184" i="100"/>
  <c r="C1136" i="100"/>
  <c r="C748" i="100"/>
  <c r="B389" i="100"/>
  <c r="B185" i="100"/>
  <c r="B1108" i="100"/>
  <c r="B644" i="100"/>
  <c r="C655" i="100"/>
  <c r="B392" i="100"/>
  <c r="C1175" i="100"/>
  <c r="C209" i="100"/>
  <c r="B1676" i="100"/>
  <c r="B239" i="100"/>
  <c r="B1677" i="100"/>
  <c r="B1839" i="100"/>
  <c r="C1934" i="100"/>
  <c r="C1961" i="100"/>
  <c r="B1117" i="100"/>
  <c r="B1965" i="100"/>
  <c r="C1837" i="100"/>
  <c r="C858" i="100"/>
  <c r="C1009" i="100"/>
  <c r="B1207" i="100"/>
  <c r="C1264" i="100"/>
  <c r="C1762" i="100"/>
  <c r="B1824" i="100"/>
  <c r="B171" i="100"/>
  <c r="C1642" i="100"/>
  <c r="C230" i="100"/>
  <c r="B1767" i="100"/>
  <c r="C210" i="100"/>
  <c r="B831" i="100"/>
  <c r="B1723" i="100"/>
  <c r="C68" i="100"/>
  <c r="B320" i="100"/>
  <c r="C800" i="100"/>
  <c r="C141" i="100"/>
  <c r="B896" i="100"/>
  <c r="B174" i="100"/>
  <c r="C351" i="100"/>
  <c r="B1794" i="100"/>
  <c r="B1588" i="100"/>
  <c r="C1247" i="100"/>
  <c r="B1104" i="100"/>
  <c r="C1555" i="100"/>
  <c r="B540" i="100"/>
  <c r="C1942" i="100"/>
  <c r="B447" i="100"/>
  <c r="B232" i="100"/>
  <c r="B746" i="100"/>
  <c r="C1814" i="100"/>
  <c r="B1922" i="100"/>
  <c r="B1918" i="100"/>
  <c r="C1971" i="100"/>
  <c r="B1968" i="100"/>
  <c r="B312" i="100"/>
  <c r="B1594" i="100"/>
  <c r="C496" i="100"/>
  <c r="C1556" i="100"/>
  <c r="C45" i="100"/>
  <c r="B1923" i="100"/>
  <c r="C578" i="100"/>
  <c r="B816" i="100"/>
  <c r="B696" i="100"/>
  <c r="B535" i="100"/>
  <c r="C1725" i="100"/>
  <c r="C228" i="100"/>
  <c r="B994" i="100"/>
  <c r="B1103" i="100"/>
  <c r="C1977" i="100"/>
  <c r="B1258" i="100"/>
  <c r="C1669" i="100"/>
  <c r="B1779" i="100"/>
  <c r="C807" i="100"/>
  <c r="B577" i="100"/>
  <c r="C1858" i="100"/>
  <c r="B803" i="100"/>
  <c r="B1891" i="100"/>
  <c r="B837" i="100"/>
  <c r="B628" i="100"/>
  <c r="C368" i="100"/>
  <c r="B903" i="100"/>
  <c r="C1840" i="100"/>
  <c r="B1964" i="100"/>
  <c r="C460" i="100"/>
  <c r="B1986" i="100"/>
  <c r="B1781" i="100"/>
  <c r="B55" i="100"/>
  <c r="B1272" i="100"/>
  <c r="B1709" i="100"/>
  <c r="B1696" i="100"/>
  <c r="B410" i="100"/>
  <c r="C1171" i="100"/>
  <c r="B739" i="100"/>
  <c r="C540" i="100"/>
  <c r="C1108" i="100"/>
  <c r="B243" i="100"/>
  <c r="B902" i="100"/>
  <c r="B187" i="100"/>
  <c r="C54" i="100"/>
  <c r="B211" i="100"/>
  <c r="B635" i="100"/>
  <c r="C618" i="100"/>
  <c r="B1093" i="100"/>
  <c r="C998" i="100"/>
  <c r="B1675" i="100"/>
  <c r="C1587" i="100"/>
  <c r="B1169" i="100"/>
  <c r="C335" i="100"/>
  <c r="B845" i="100"/>
  <c r="B1858" i="100"/>
  <c r="B1738" i="100"/>
  <c r="B1755" i="100"/>
  <c r="C452" i="100"/>
  <c r="C1829" i="100"/>
  <c r="B1179" i="100"/>
  <c r="B869" i="100"/>
  <c r="C861" i="100"/>
  <c r="B112" i="100"/>
  <c r="B1150" i="100"/>
  <c r="B926" i="100"/>
  <c r="B1977" i="100"/>
  <c r="C222" i="100"/>
  <c r="B1036" i="100"/>
  <c r="C1751" i="100"/>
  <c r="C1677" i="100"/>
  <c r="C559" i="100"/>
  <c r="C30" i="100"/>
  <c r="C50" i="100"/>
  <c r="C1795" i="100"/>
  <c r="B1914" i="100"/>
  <c r="B1087" i="100"/>
  <c r="C6" i="100"/>
  <c r="B1729" i="100"/>
  <c r="C1870" i="100"/>
  <c r="B1237" i="100"/>
  <c r="B1925" i="100"/>
  <c r="B1703" i="100"/>
  <c r="C547" i="100"/>
  <c r="B1122" i="100"/>
  <c r="B417" i="100"/>
  <c r="C1062" i="100"/>
  <c r="C386" i="100"/>
  <c r="B1690" i="100"/>
  <c r="B427" i="100"/>
  <c r="C1797" i="100"/>
  <c r="B781" i="100"/>
  <c r="C1933" i="100"/>
  <c r="C396" i="100"/>
  <c r="B763" i="100"/>
  <c r="C1250" i="100"/>
  <c r="C347" i="100"/>
  <c r="C790" i="100"/>
  <c r="C313" i="100"/>
  <c r="C1613" i="100"/>
  <c r="C830" i="100"/>
  <c r="C94" i="100"/>
  <c r="C78" i="100"/>
  <c r="B195" i="100"/>
  <c r="C893" i="100"/>
  <c r="C1219" i="100"/>
  <c r="B1939" i="100"/>
  <c r="C507" i="100"/>
  <c r="B1727" i="100"/>
  <c r="C1805" i="100"/>
  <c r="B1146" i="100"/>
  <c r="B1985" i="100"/>
  <c r="C1689" i="100"/>
  <c r="B1760" i="100"/>
  <c r="B214" i="100"/>
  <c r="B286" i="100"/>
  <c r="C1763" i="100"/>
  <c r="B100" i="100"/>
  <c r="B611" i="100"/>
  <c r="B530" i="100"/>
  <c r="B549" i="100"/>
  <c r="B839" i="100"/>
  <c r="B1095" i="100"/>
  <c r="C1098" i="100"/>
  <c r="C770" i="100"/>
  <c r="B836" i="100"/>
  <c r="C765" i="100"/>
  <c r="B507" i="100"/>
  <c r="B1792" i="100"/>
  <c r="C96" i="100"/>
  <c r="C522" i="100"/>
  <c r="B1912" i="100"/>
  <c r="C690" i="100"/>
  <c r="B855" i="100"/>
  <c r="C806" i="100"/>
  <c r="B1120" i="100"/>
  <c r="B1710" i="100"/>
  <c r="B544" i="100"/>
  <c r="B1202" i="100"/>
  <c r="C1118" i="100"/>
  <c r="B1030" i="100"/>
  <c r="B470" i="100"/>
  <c r="B1129" i="100"/>
  <c r="B916" i="100"/>
  <c r="B1801" i="100"/>
  <c r="B595" i="100"/>
  <c r="B1061" i="100"/>
  <c r="B1958" i="100"/>
  <c r="B110" i="100"/>
  <c r="C1914" i="100"/>
  <c r="C289" i="100"/>
  <c r="B971" i="100"/>
  <c r="B1834" i="100"/>
  <c r="B801" i="100"/>
  <c r="C1280" i="100"/>
  <c r="C301" i="100"/>
  <c r="B1822" i="100"/>
  <c r="B1777" i="100"/>
  <c r="B1705" i="100"/>
  <c r="B1276" i="100"/>
  <c r="B180" i="100"/>
  <c r="C996" i="100"/>
  <c r="C1822" i="100"/>
  <c r="C1719" i="100"/>
  <c r="C1277" i="100"/>
  <c r="B1778" i="100"/>
  <c r="B436" i="100"/>
  <c r="B558" i="100"/>
  <c r="B1706" i="100"/>
  <c r="C649" i="100"/>
  <c r="B431" i="100"/>
  <c r="B517" i="100"/>
  <c r="C408" i="100"/>
  <c r="C823" i="100"/>
  <c r="C1890" i="100"/>
  <c r="C1808" i="100"/>
  <c r="B665" i="100"/>
  <c r="B1828" i="100"/>
  <c r="C1059" i="100"/>
  <c r="C1918" i="100"/>
  <c r="C1883" i="100"/>
  <c r="B1954" i="100"/>
  <c r="C456" i="100"/>
  <c r="B626" i="100"/>
  <c r="C1804" i="100"/>
  <c r="C1089" i="100"/>
  <c r="C912" i="100"/>
  <c r="B460" i="100"/>
  <c r="C1783" i="100"/>
  <c r="C1968" i="100"/>
  <c r="B442" i="100"/>
  <c r="B539" i="100"/>
  <c r="B1840" i="100"/>
  <c r="C1756" i="100"/>
  <c r="B881" i="100"/>
  <c r="B1740" i="100"/>
  <c r="C91" i="100"/>
  <c r="B1683" i="100"/>
  <c r="C1101" i="100"/>
  <c r="C685" i="100"/>
  <c r="B720" i="100"/>
  <c r="C1835" i="100"/>
  <c r="C975" i="100"/>
  <c r="B959" i="100"/>
  <c r="B1680" i="100"/>
  <c r="B695" i="100"/>
  <c r="B69" i="100"/>
  <c r="C1233" i="100"/>
  <c r="C855" i="100"/>
  <c r="B310" i="100"/>
  <c r="B1027" i="100"/>
  <c r="C868" i="100"/>
  <c r="B1956" i="100"/>
  <c r="B1818" i="100"/>
  <c r="B824" i="100"/>
  <c r="B293" i="100"/>
  <c r="C1276" i="100"/>
  <c r="B1012" i="100"/>
  <c r="B111" i="100"/>
  <c r="C1930" i="100"/>
  <c r="C545" i="100"/>
  <c r="B1569" i="100"/>
  <c r="C357" i="100"/>
  <c r="C1966" i="100"/>
  <c r="B998" i="100"/>
  <c r="C35" i="100"/>
  <c r="B8" i="100"/>
  <c r="C722" i="100"/>
  <c r="B559" i="100"/>
  <c r="C332" i="100"/>
  <c r="B1647" i="100"/>
  <c r="B873" i="100"/>
  <c r="B1062" i="100"/>
  <c r="B547" i="100"/>
  <c r="C842" i="100"/>
  <c r="B1243" i="100"/>
  <c r="C710" i="100"/>
  <c r="B972" i="100"/>
  <c r="B1837" i="100"/>
  <c r="B76" i="100"/>
  <c r="B894" i="100"/>
  <c r="C995" i="100"/>
  <c r="B757" i="100"/>
  <c r="B1604" i="100"/>
  <c r="C1205" i="100"/>
  <c r="B154" i="100"/>
  <c r="C418" i="100"/>
  <c r="B526" i="100"/>
  <c r="B562" i="100"/>
  <c r="B1938" i="100"/>
  <c r="C365" i="100"/>
  <c r="B1177" i="100"/>
  <c r="B1040" i="100"/>
  <c r="C1730" i="100"/>
  <c r="C637" i="100"/>
  <c r="B783" i="100"/>
  <c r="C1770" i="100"/>
  <c r="B77" i="100"/>
  <c r="C643" i="100"/>
  <c r="B604" i="100"/>
  <c r="C92" i="100"/>
  <c r="C320" i="100"/>
  <c r="C712" i="100"/>
  <c r="C414" i="100"/>
  <c r="C516" i="100"/>
  <c r="B829" i="100"/>
  <c r="B1206" i="100"/>
  <c r="B80" i="100"/>
  <c r="B657" i="100"/>
  <c r="C156" i="100"/>
  <c r="C140" i="100"/>
  <c r="B332" i="100"/>
  <c r="C818" i="100"/>
  <c r="C53" i="100"/>
  <c r="C74" i="100"/>
  <c r="C925" i="100"/>
  <c r="C212" i="100"/>
  <c r="C1085" i="100"/>
  <c r="B1763" i="100"/>
  <c r="C58" i="100"/>
  <c r="C1192" i="100"/>
  <c r="C1926" i="100"/>
  <c r="C1959" i="100"/>
  <c r="B1870" i="100"/>
  <c r="C298" i="100"/>
  <c r="B175" i="100"/>
  <c r="B957" i="100"/>
  <c r="B1743" i="100"/>
  <c r="B1186" i="100"/>
  <c r="B1167" i="100"/>
  <c r="B473" i="100"/>
  <c r="B1913" i="100"/>
  <c r="C757" i="100"/>
  <c r="C734" i="100"/>
  <c r="B1875" i="100"/>
  <c r="B84" i="100"/>
  <c r="C211" i="100"/>
  <c r="B128" i="100"/>
  <c r="C168" i="100"/>
  <c r="B103" i="100"/>
  <c r="C523" i="100"/>
  <c r="B921" i="100"/>
  <c r="B1719" i="100"/>
  <c r="C468" i="100"/>
  <c r="C1107" i="100"/>
  <c r="C1056" i="100"/>
  <c r="B375" i="100"/>
  <c r="C667" i="100"/>
  <c r="B1691" i="100"/>
  <c r="C874" i="100"/>
  <c r="C1696" i="100"/>
  <c r="B1038" i="100"/>
  <c r="C1155" i="100"/>
  <c r="C1116" i="100"/>
  <c r="C493" i="100"/>
  <c r="B1976" i="100"/>
  <c r="C1713" i="100"/>
  <c r="C66" i="100"/>
  <c r="B575" i="100"/>
  <c r="B1814" i="100"/>
  <c r="B1229" i="100"/>
  <c r="C1260" i="100"/>
  <c r="C1744" i="100"/>
  <c r="B371" i="100"/>
  <c r="B300" i="100"/>
  <c r="C1753" i="100"/>
  <c r="C548" i="100"/>
  <c r="B288" i="100"/>
  <c r="C900" i="100"/>
  <c r="C240" i="100"/>
  <c r="C455" i="100"/>
  <c r="C780" i="100"/>
  <c r="C90" i="100"/>
  <c r="C1900" i="100"/>
  <c r="C880" i="100"/>
  <c r="B178" i="100"/>
  <c r="C781" i="100"/>
  <c r="C1673" i="100"/>
  <c r="B1158" i="100"/>
  <c r="B269" i="100"/>
  <c r="C1697" i="100"/>
  <c r="B566" i="100"/>
  <c r="C1801" i="100"/>
  <c r="C254" i="100"/>
  <c r="B898" i="100"/>
  <c r="C37" i="100"/>
  <c r="C1186" i="100"/>
  <c r="B1137" i="100"/>
  <c r="B1899" i="100"/>
  <c r="B1929" i="100"/>
  <c r="B218" i="100"/>
  <c r="C470" i="100"/>
  <c r="B1700" i="100"/>
  <c r="C1820" i="100"/>
  <c r="B847" i="100"/>
  <c r="B1901" i="100"/>
  <c r="C1068" i="100"/>
  <c r="B193" i="100"/>
  <c r="B1733" i="100"/>
  <c r="B551" i="100"/>
  <c r="B766" i="100"/>
  <c r="B1010" i="100"/>
  <c r="B684" i="100"/>
  <c r="B1721" i="100"/>
  <c r="B1216" i="100"/>
  <c r="B1841" i="100"/>
  <c r="C1813" i="100"/>
  <c r="B379" i="100"/>
  <c r="C1185" i="100"/>
  <c r="B840" i="100"/>
  <c r="C615" i="100"/>
  <c r="C1197" i="100"/>
  <c r="C1151" i="100"/>
  <c r="C1777" i="100"/>
  <c r="C538" i="100"/>
  <c r="C1168" i="100"/>
  <c r="C1784" i="100"/>
  <c r="B1892" i="100"/>
  <c r="C1010" i="100"/>
  <c r="C569" i="100"/>
  <c r="B1816" i="100"/>
  <c r="C199" i="100"/>
  <c r="C849" i="100"/>
  <c r="C1599" i="100"/>
  <c r="C1028" i="100"/>
  <c r="B1826" i="100"/>
  <c r="B889" i="100"/>
  <c r="C666" i="100"/>
  <c r="C131" i="100"/>
  <c r="B538" i="100"/>
  <c r="C1841" i="100"/>
  <c r="B737" i="100"/>
  <c r="B1747" i="100"/>
  <c r="B910" i="100"/>
  <c r="C354" i="100"/>
  <c r="C919" i="100"/>
  <c r="B761" i="100"/>
  <c r="B120" i="100"/>
  <c r="C157" i="100"/>
  <c r="C1558" i="100"/>
  <c r="B719" i="100"/>
  <c r="B967" i="100"/>
  <c r="B721" i="100"/>
  <c r="C1162" i="100"/>
  <c r="B1838" i="100"/>
  <c r="B524" i="100"/>
  <c r="C255" i="100"/>
  <c r="C447" i="100"/>
  <c r="B222" i="100"/>
  <c r="B140" i="100"/>
  <c r="B1152" i="100"/>
  <c r="C906" i="100"/>
  <c r="C1928" i="100"/>
  <c r="B782" i="100"/>
  <c r="C612" i="100"/>
  <c r="C1688" i="100"/>
  <c r="C1191" i="100"/>
  <c r="C1585" i="100"/>
  <c r="B1969" i="100"/>
  <c r="B65" i="100"/>
  <c r="B950" i="100"/>
  <c r="B667" i="100"/>
  <c r="C1567" i="100"/>
  <c r="B603" i="100"/>
  <c r="B1005" i="100"/>
  <c r="B1725" i="100"/>
  <c r="B974" i="100"/>
  <c r="C104" i="100"/>
  <c r="B1208" i="100"/>
  <c r="C134" i="100"/>
  <c r="C964" i="100"/>
  <c r="C1007" i="100"/>
  <c r="C514" i="100"/>
  <c r="C930" i="100"/>
  <c r="C196" i="100"/>
  <c r="C1716" i="100"/>
  <c r="B623" i="100"/>
  <c r="C1231" i="100"/>
  <c r="B422" i="100"/>
  <c r="C917" i="100"/>
  <c r="C664" i="100"/>
  <c r="B209" i="100"/>
  <c r="C1217" i="100"/>
  <c r="C244" i="100"/>
  <c r="C603" i="100"/>
  <c r="B773" i="100"/>
  <c r="C1137" i="100"/>
  <c r="B1078" i="100"/>
  <c r="C625" i="100"/>
  <c r="B328" i="100"/>
  <c r="B1264" i="100"/>
  <c r="C294" i="100"/>
  <c r="B1768" i="100"/>
  <c r="C1163" i="100"/>
  <c r="C474" i="100"/>
  <c r="C902" i="100"/>
  <c r="C1611" i="100"/>
  <c r="B138" i="100"/>
  <c r="C743" i="100"/>
  <c r="C382" i="100"/>
  <c r="C1832" i="100"/>
  <c r="C624" i="100"/>
  <c r="C1239" i="100"/>
  <c r="C62" i="100"/>
  <c r="B1143" i="100"/>
  <c r="B913" i="100"/>
  <c r="C1140" i="100"/>
  <c r="B1173" i="100"/>
  <c r="B7" i="100"/>
  <c r="B305" i="100"/>
  <c r="C588" i="100"/>
  <c r="B814" i="100"/>
  <c r="B1713" i="100"/>
  <c r="C699" i="100"/>
  <c r="C769" i="100"/>
  <c r="C920" i="100"/>
  <c r="B295" i="100"/>
  <c r="C571" i="100"/>
  <c r="C1589" i="100"/>
  <c r="B550" i="100"/>
  <c r="B707" i="100"/>
  <c r="C1048" i="100"/>
  <c r="C820" i="100"/>
  <c r="B1702" i="100"/>
  <c r="C1269" i="100"/>
  <c r="C389" i="100"/>
  <c r="C267" i="100"/>
  <c r="B996" i="100"/>
  <c r="C967" i="100"/>
  <c r="B1114" i="100"/>
  <c r="B843" i="100"/>
  <c r="C1916" i="100"/>
  <c r="C672" i="100"/>
  <c r="B791" i="100"/>
  <c r="B10" i="100"/>
  <c r="B1109" i="100"/>
  <c r="C916" i="100"/>
  <c r="B496" i="100"/>
  <c r="B1166" i="100"/>
  <c r="C116" i="100"/>
  <c r="B1045" i="100"/>
  <c r="B859" i="100"/>
  <c r="B53" i="100"/>
  <c r="B612" i="100"/>
  <c r="B671" i="100"/>
  <c r="B955" i="100"/>
  <c r="C784" i="100"/>
  <c r="C227" i="100"/>
  <c r="C723" i="100"/>
  <c r="C1734" i="100"/>
  <c r="B1025" i="100"/>
  <c r="C1802" i="100"/>
  <c r="C662" i="100"/>
  <c r="B1931" i="100"/>
  <c r="B584" i="100"/>
  <c r="C1110" i="100"/>
  <c r="C1978" i="100"/>
  <c r="B1028" i="100"/>
  <c r="B1611" i="100"/>
  <c r="B963" i="100"/>
  <c r="B1679" i="100"/>
  <c r="B190" i="100"/>
  <c r="B1832" i="100"/>
  <c r="C1711" i="100"/>
  <c r="C1095" i="100"/>
  <c r="B1116" i="100"/>
  <c r="C1901" i="100"/>
  <c r="C1941" i="100"/>
  <c r="C648" i="100"/>
  <c r="C18" i="100"/>
  <c r="B941" i="100"/>
  <c r="C955" i="100"/>
  <c r="C63" i="100"/>
  <c r="C1016" i="100"/>
  <c r="C1159" i="100"/>
  <c r="C774" i="100"/>
  <c r="C1668" i="100"/>
  <c r="C805" i="100"/>
  <c r="B387" i="100"/>
  <c r="C111" i="100"/>
  <c r="B988" i="100"/>
  <c r="C107" i="100"/>
  <c r="B1800" i="100"/>
  <c r="C263" i="100"/>
  <c r="C732" i="100"/>
  <c r="B273" i="100"/>
  <c r="C754" i="100"/>
  <c r="B794" i="100"/>
  <c r="C130" i="100"/>
  <c r="B407" i="100"/>
  <c r="B226" i="100"/>
  <c r="C1029" i="100"/>
  <c r="B297" i="100"/>
  <c r="C1238" i="100"/>
  <c r="C43" i="100"/>
  <c r="C891" i="100"/>
  <c r="B871" i="100"/>
  <c r="C1691" i="100"/>
  <c r="B918" i="100"/>
  <c r="B1222" i="100"/>
  <c r="C626" i="100"/>
  <c r="C549" i="100"/>
  <c r="C462" i="100"/>
  <c r="B155" i="100"/>
  <c r="B1145" i="100"/>
  <c r="B1615" i="100"/>
  <c r="B380" i="100"/>
  <c r="C145" i="100"/>
  <c r="C1147" i="100"/>
  <c r="C1889" i="100"/>
  <c r="B1937" i="100"/>
  <c r="C1054" i="100"/>
  <c r="C929" i="100"/>
  <c r="B936" i="100"/>
  <c r="C1135" i="100"/>
  <c r="C1146" i="100"/>
  <c r="C1714" i="100"/>
  <c r="C553" i="100"/>
  <c r="C1722" i="100"/>
  <c r="B1178" i="100"/>
  <c r="C1111" i="100"/>
  <c r="B1004" i="100"/>
  <c r="C1690" i="100"/>
  <c r="B465" i="100"/>
  <c r="B1731" i="100"/>
  <c r="C724" i="100"/>
  <c r="B259" i="100"/>
  <c r="B592" i="100"/>
  <c r="C721" i="100"/>
  <c r="C1139" i="100"/>
  <c r="C1034" i="100"/>
  <c r="C764" i="100"/>
  <c r="C334" i="100"/>
  <c r="B1593" i="100"/>
  <c r="C852" i="100"/>
  <c r="B1694" i="100"/>
  <c r="C1964" i="100"/>
  <c r="B1765" i="100"/>
  <c r="B1187" i="100"/>
  <c r="C97" i="100"/>
  <c r="B1074" i="100"/>
  <c r="C565" i="100"/>
  <c r="B1704" i="100"/>
  <c r="C627" i="100"/>
  <c r="B1600" i="100"/>
  <c r="B1197" i="100"/>
  <c r="B104" i="100"/>
  <c r="B1982" i="100"/>
  <c r="C302" i="100"/>
  <c r="B593" i="100"/>
  <c r="C945" i="100"/>
  <c r="B726" i="100"/>
  <c r="B304" i="100"/>
  <c r="B481" i="100"/>
  <c r="B151" i="100"/>
  <c r="C1053" i="100"/>
  <c r="B785" i="100"/>
  <c r="B573" i="100"/>
  <c r="B1100" i="100"/>
  <c r="C1769" i="100"/>
  <c r="C169" i="100"/>
  <c r="C1824" i="100"/>
  <c r="B931" i="100"/>
  <c r="B960" i="100"/>
  <c r="C128" i="100"/>
  <c r="C640" i="100"/>
  <c r="C1604" i="100"/>
  <c r="B586" i="100"/>
  <c r="B1014" i="100"/>
  <c r="C733" i="100"/>
  <c r="C1973" i="100"/>
  <c r="B830" i="100"/>
  <c r="B1783" i="100"/>
  <c r="B874" i="100"/>
  <c r="C1985" i="100"/>
  <c r="B93" i="100"/>
  <c r="C711" i="100"/>
  <c r="B403" i="100"/>
  <c r="C537" i="100"/>
  <c r="B256" i="100"/>
  <c r="C1695" i="100"/>
  <c r="C1758" i="100"/>
  <c r="B1919" i="100"/>
  <c r="C1935" i="100"/>
  <c r="C454" i="100"/>
  <c r="C1785" i="100"/>
  <c r="B833" i="100"/>
  <c r="C1958" i="100"/>
  <c r="C684" i="100"/>
  <c r="C705" i="100"/>
  <c r="C491" i="100"/>
  <c r="C1743" i="100"/>
  <c r="B857" i="100"/>
  <c r="C1268" i="100"/>
  <c r="C1203" i="100"/>
  <c r="B655" i="100"/>
  <c r="B649" i="100"/>
  <c r="B1681" i="100"/>
  <c r="C954" i="100"/>
  <c r="B444" i="100"/>
  <c r="C190" i="100"/>
  <c r="C1615" i="100"/>
  <c r="B1785" i="100"/>
  <c r="C498" i="100"/>
  <c r="B679" i="100"/>
  <c r="B939" i="100"/>
  <c r="B865" i="100"/>
  <c r="C1061" i="100"/>
  <c r="B867" i="100"/>
  <c r="B1786" i="100"/>
  <c r="B1008" i="100"/>
  <c r="B1032" i="100"/>
  <c r="C1700" i="100"/>
  <c r="B1869" i="100"/>
  <c r="B762" i="100"/>
  <c r="B738" i="100"/>
  <c r="B1769" i="100"/>
  <c r="B777" i="100"/>
  <c r="B236" i="100"/>
  <c r="B482" i="100"/>
  <c r="C678" i="100"/>
  <c r="C845" i="100"/>
  <c r="C231" i="100"/>
  <c r="B930" i="100"/>
  <c r="B6" i="100"/>
  <c r="C866" i="100"/>
  <c r="C580" i="100"/>
  <c r="B303" i="100"/>
  <c r="C707" i="100"/>
  <c r="B807" i="100"/>
  <c r="C673" i="100"/>
  <c r="C1705" i="100"/>
  <c r="B1947" i="100"/>
  <c r="B1773" i="100"/>
  <c r="B133" i="100"/>
  <c r="C1606" i="100"/>
  <c r="B1795" i="100"/>
  <c r="C1761" i="100"/>
  <c r="B345" i="100"/>
  <c r="C1243" i="100"/>
  <c r="C402" i="100"/>
  <c r="B1886" i="100"/>
  <c r="C970" i="100"/>
  <c r="C281" i="100"/>
  <c r="B545" i="100"/>
  <c r="B1715" i="100"/>
  <c r="C1143" i="100"/>
  <c r="C870" i="100"/>
  <c r="B742" i="100"/>
  <c r="B29" i="100"/>
  <c r="C1190" i="100"/>
  <c r="C1224" i="100"/>
  <c r="C1134" i="100"/>
  <c r="B1827" i="100"/>
  <c r="B670" i="100"/>
  <c r="B970" i="100"/>
  <c r="B935" i="100"/>
  <c r="B1133" i="100"/>
  <c r="C1117" i="100"/>
  <c r="B1007" i="100"/>
  <c r="B872" i="100"/>
  <c r="C1750" i="100"/>
  <c r="C1097" i="100"/>
  <c r="B811" i="100"/>
  <c r="B613" i="100"/>
  <c r="B654" i="100"/>
  <c r="C1948" i="100"/>
  <c r="B576" i="100"/>
  <c r="B309" i="100"/>
  <c r="B1119" i="100"/>
  <c r="C1590" i="100"/>
  <c r="B1128" i="100"/>
  <c r="C1732" i="100"/>
  <c r="C1736" i="100"/>
  <c r="C886" i="100"/>
  <c r="C1771" i="100"/>
  <c r="B227" i="100"/>
  <c r="B1011" i="100"/>
  <c r="B202" i="100"/>
  <c r="C574" i="100"/>
  <c r="C1125" i="100"/>
  <c r="B170" i="100"/>
  <c r="B19" i="100"/>
  <c r="B569" i="100"/>
  <c r="C223" i="100"/>
  <c r="B614" i="100"/>
  <c r="B1135" i="100"/>
  <c r="B54" i="100"/>
  <c r="B1101" i="100"/>
  <c r="B461" i="100"/>
  <c r="B687" i="100"/>
  <c r="B789" i="100"/>
  <c r="B1612" i="100"/>
  <c r="B885" i="100"/>
  <c r="C864" i="100"/>
  <c r="B1106" i="100"/>
  <c r="C1809" i="100"/>
  <c r="C907" i="100"/>
  <c r="B677" i="100"/>
  <c r="B1077" i="100"/>
  <c r="B622" i="100"/>
  <c r="C1752" i="100"/>
  <c r="B741" i="100"/>
  <c r="B1097" i="100"/>
  <c r="C1932" i="100"/>
  <c r="C650" i="100"/>
  <c r="C1206" i="100"/>
  <c r="C804" i="100"/>
  <c r="B96" i="100"/>
  <c r="B296" i="100"/>
  <c r="B434" i="100"/>
  <c r="C875" i="100"/>
  <c r="C763" i="100"/>
  <c r="B848" i="100"/>
  <c r="B62" i="100"/>
  <c r="B1735" i="100"/>
  <c r="B311" i="100"/>
  <c r="B895" i="100"/>
  <c r="B722" i="100"/>
  <c r="C122" i="100"/>
  <c r="C1598" i="100"/>
  <c r="B1134" i="100"/>
  <c r="C611" i="100"/>
  <c r="C1896" i="100"/>
  <c r="C944" i="100"/>
  <c r="B1247" i="100"/>
  <c r="B1684" i="100"/>
  <c r="C939" i="100"/>
  <c r="B315" i="100"/>
  <c r="C1724" i="100"/>
  <c r="C730" i="100"/>
  <c r="B1041" i="100"/>
  <c r="C182" i="100"/>
  <c r="B1686" i="100"/>
  <c r="C1766" i="100"/>
  <c r="C573" i="100"/>
  <c r="B646" i="100"/>
  <c r="B900" i="100"/>
  <c r="B813" i="100"/>
  <c r="B887" i="100"/>
  <c r="B989" i="100"/>
  <c r="C1747" i="100"/>
  <c r="B1141" i="100"/>
  <c r="B1666" i="100"/>
  <c r="B1112" i="100"/>
  <c r="C1774" i="100"/>
  <c r="C229" i="100"/>
  <c r="C174" i="100"/>
  <c r="C988" i="100"/>
  <c r="C1021" i="100"/>
  <c r="B1893" i="100"/>
  <c r="C346" i="100"/>
  <c r="B91" i="100"/>
  <c r="C1265" i="100"/>
  <c r="B1121" i="100"/>
  <c r="B1051" i="100"/>
  <c r="C816" i="100"/>
  <c r="B266" i="100"/>
  <c r="C1988" i="100"/>
  <c r="B1926" i="100"/>
  <c r="C1232" i="100"/>
  <c r="B691" i="100"/>
  <c r="C1972" i="100"/>
  <c r="C1694" i="100"/>
  <c r="C1708" i="100"/>
  <c r="C636" i="100"/>
  <c r="C691" i="100"/>
  <c r="C1012" i="100"/>
  <c r="B1915" i="100"/>
  <c r="B625" i="100"/>
  <c r="B1110" i="100"/>
  <c r="B546" i="100"/>
  <c r="B768" i="100"/>
  <c r="B1232" i="100"/>
  <c r="B1219" i="100"/>
  <c r="C1943" i="100"/>
  <c r="B1848" i="100"/>
  <c r="B929" i="100"/>
  <c r="C371" i="100"/>
  <c r="C622" i="100"/>
  <c r="B1043" i="100"/>
  <c r="C1027" i="100"/>
  <c r="C188" i="100"/>
  <c r="C1595" i="100"/>
  <c r="C101" i="100"/>
  <c r="B472" i="100"/>
  <c r="C959" i="100"/>
  <c r="C5" i="100"/>
  <c r="B779" i="100"/>
  <c r="B1955" i="100"/>
  <c r="C1702" i="100"/>
  <c r="B765" i="100"/>
  <c r="C1897" i="100"/>
  <c r="B1821" i="100"/>
  <c r="B119" i="100"/>
  <c r="B1751" i="100"/>
  <c r="B58" i="100"/>
  <c r="C1647" i="100"/>
  <c r="C972" i="100"/>
  <c r="B645" i="100"/>
  <c r="C1094" i="100"/>
  <c r="B780" i="100"/>
  <c r="C556" i="100"/>
  <c r="B1739" i="100"/>
  <c r="B542" i="100"/>
  <c r="C1057" i="100"/>
  <c r="B354" i="100"/>
  <c r="B1758" i="100"/>
  <c r="B61" i="100"/>
  <c r="C1915" i="100"/>
  <c r="C1133" i="100"/>
  <c r="B975" i="100"/>
  <c r="C1718" i="100"/>
  <c r="B368" i="100"/>
  <c r="C1692" i="100"/>
  <c r="B1728" i="100"/>
  <c r="C1172" i="100"/>
  <c r="B1819" i="100"/>
  <c r="B231" i="100"/>
  <c r="C1242" i="100"/>
  <c r="C585" i="100"/>
  <c r="C1960" i="100"/>
  <c r="B1205" i="100"/>
  <c r="B1960" i="100"/>
  <c r="C589" i="100"/>
  <c r="C69" i="100"/>
  <c r="C183" i="100"/>
  <c r="B260" i="100"/>
  <c r="C922" i="100"/>
  <c r="C892" i="100"/>
  <c r="B1123" i="100"/>
  <c r="B899" i="100"/>
  <c r="C1947" i="100"/>
  <c r="C1791" i="100"/>
  <c r="B1607" i="100"/>
  <c r="B663" i="100"/>
  <c r="C1167" i="100"/>
  <c r="C1931" i="100"/>
  <c r="C610" i="100"/>
  <c r="B439" i="100"/>
  <c r="C1237" i="100"/>
  <c r="B1118" i="100"/>
  <c r="B1211" i="100"/>
  <c r="C1826" i="100"/>
  <c r="C815" i="100"/>
  <c r="B1812" i="100"/>
  <c r="C654" i="100"/>
  <c r="C21" i="100"/>
  <c r="B1260" i="100"/>
  <c r="C979" i="100"/>
  <c r="B11" i="100"/>
  <c r="C504" i="100"/>
  <c r="B1933" i="100"/>
  <c r="B1203" i="100"/>
  <c r="C1671" i="100"/>
  <c r="B1942" i="100"/>
  <c r="B1745" i="100"/>
  <c r="B1695" i="100"/>
  <c r="B1707" i="100"/>
  <c r="B168" i="100"/>
  <c r="C1682" i="100"/>
  <c r="C1895" i="100"/>
  <c r="C1738" i="100"/>
  <c r="B564" i="100"/>
  <c r="C261" i="100"/>
  <c r="B1762" i="100"/>
  <c r="C366" i="100"/>
  <c r="C1782" i="100"/>
  <c r="C420" i="100"/>
  <c r="C788" i="100"/>
  <c r="C822" i="100"/>
  <c r="B1678" i="100"/>
  <c r="B204" i="100"/>
  <c r="C856" i="100"/>
  <c r="C751" i="100"/>
  <c r="B1917" i="100"/>
  <c r="C1174" i="100"/>
  <c r="B267" i="100"/>
  <c r="B1770" i="100"/>
  <c r="B1070" i="100"/>
  <c r="B24" i="100"/>
  <c r="B951" i="100"/>
  <c r="B1245" i="100"/>
  <c r="B1813" i="100"/>
  <c r="C52" i="100"/>
  <c r="C1767" i="100"/>
  <c r="C1986" i="100"/>
  <c r="C1180" i="100"/>
  <c r="B708" i="100"/>
  <c r="B338" i="100"/>
  <c r="B1742" i="100"/>
  <c r="B1191" i="100"/>
  <c r="B666" i="100"/>
  <c r="B27" i="100"/>
  <c r="C542" i="100"/>
  <c r="B555" i="100"/>
  <c r="B1774" i="100"/>
  <c r="B241" i="100"/>
  <c r="B1766" i="100"/>
  <c r="B1183" i="100"/>
  <c r="B784" i="100"/>
  <c r="C1759" i="100"/>
  <c r="C433" i="100"/>
  <c r="C860" i="100"/>
  <c r="C1929" i="100"/>
  <c r="B1054" i="100"/>
  <c r="B579" i="100"/>
  <c r="C716" i="100"/>
  <c r="B1670" i="100"/>
  <c r="C1100" i="100"/>
  <c r="B533" i="100"/>
  <c r="C1030" i="100"/>
  <c r="B1979" i="100"/>
  <c r="B1775" i="100"/>
  <c r="B1737" i="100"/>
  <c r="B820" i="100"/>
  <c r="B67" i="100"/>
  <c r="B1090" i="100"/>
  <c r="B1708" i="100"/>
  <c r="B361" i="100"/>
  <c r="C581" i="100"/>
  <c r="B1217" i="100"/>
  <c r="C597" i="100"/>
  <c r="C1166" i="100"/>
  <c r="C1071" i="100"/>
  <c r="C1039" i="100"/>
  <c r="C785" i="100"/>
  <c r="C1955" i="100"/>
  <c r="C882" i="100"/>
  <c r="C1609" i="100"/>
  <c r="C1773" i="100"/>
  <c r="C1944" i="100"/>
  <c r="B1147" i="100"/>
  <c r="B70" i="100"/>
  <c r="B1921" i="100"/>
  <c r="B1799" i="100"/>
  <c r="B1153" i="100"/>
  <c r="B1906" i="100"/>
  <c r="B182" i="100"/>
  <c r="C735" i="100"/>
  <c r="C702" i="100"/>
  <c r="B179" i="100"/>
  <c r="C546" i="100"/>
  <c r="C898" i="100"/>
  <c r="C1979" i="100"/>
  <c r="C692" i="100"/>
  <c r="B591" i="100"/>
  <c r="B298" i="100"/>
  <c r="C1251" i="100"/>
  <c r="C1113" i="100"/>
  <c r="B806" i="100"/>
  <c r="B1563" i="100"/>
  <c r="C70" i="100"/>
  <c r="B1883" i="100"/>
  <c r="C1874" i="100"/>
  <c r="C1891" i="100"/>
  <c r="C253" i="100"/>
  <c r="C969" i="100"/>
  <c r="C1776" i="100"/>
  <c r="B711" i="100"/>
  <c r="B633" i="100"/>
  <c r="B194" i="100"/>
  <c r="B619" i="100"/>
  <c r="B1748" i="100"/>
  <c r="B1736" i="100"/>
  <c r="C726" i="100"/>
  <c r="C390" i="100"/>
  <c r="C114" i="94" l="1"/>
  <c r="D6" i="99"/>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P619" i="100" a="1"/>
  <c r="P807" i="100" a="1"/>
  <c r="Q699" i="100" a="1"/>
  <c r="P1169" i="100" a="1"/>
  <c r="P979" i="100" a="1"/>
  <c r="P650" i="100" a="1"/>
  <c r="P747" i="100" a="1"/>
  <c r="Q1169" i="100" a="1"/>
  <c r="Q792" i="100" a="1"/>
  <c r="Q581" i="100" a="1"/>
  <c r="P777" i="100" a="1"/>
  <c r="P1143" i="100" a="1"/>
  <c r="Q998" i="100" a="1"/>
  <c r="P1048" i="100" a="1"/>
  <c r="P1058" i="100" a="1"/>
  <c r="Q873" i="100" a="1"/>
  <c r="Q681" i="100" a="1"/>
  <c r="P792" i="100" a="1"/>
  <c r="P1218" i="100" a="1"/>
  <c r="Q979" i="100" a="1"/>
  <c r="P960" i="100" a="1"/>
  <c r="P551" i="100" a="1"/>
  <c r="P903" i="100" a="1"/>
  <c r="P1034" i="100" a="1"/>
  <c r="Q1114" i="100" a="1"/>
  <c r="Q825" i="100" a="1"/>
  <c r="P922" i="100" a="1"/>
  <c r="Q1091" i="100" a="1"/>
  <c r="Q941" i="100" a="1"/>
  <c r="Q922" i="100" a="1"/>
  <c r="Q1034" i="100" a="1"/>
  <c r="P566" i="100" a="1"/>
  <c r="Q807" i="100" a="1"/>
  <c r="Q600" i="100" a="1"/>
  <c r="P717" i="100" a="1"/>
  <c r="P825" i="100" a="1"/>
  <c r="Q843" i="100" a="1"/>
  <c r="P699" i="100" a="1"/>
  <c r="Q1194" i="100" a="1"/>
  <c r="Q1012" i="100" a="1"/>
  <c r="P941" i="100" a="1"/>
  <c r="P873" i="100" a="1"/>
  <c r="Q551" i="100" a="1"/>
  <c r="P1075" i="100" a="1"/>
  <c r="P1023" i="100" a="1"/>
  <c r="Q1023" i="100" a="1"/>
  <c r="Q777" i="100" a="1"/>
  <c r="P600" i="100" a="1"/>
  <c r="Q1101" i="100" a="1"/>
  <c r="Q650" i="100" a="1"/>
  <c r="P843" i="100" a="1"/>
  <c r="P998" i="100" a="1"/>
  <c r="P1091" i="100" a="1"/>
  <c r="Q1058" i="100" a="1"/>
  <c r="P581" i="100" a="1"/>
  <c r="Q1075" i="100" a="1"/>
  <c r="Q566" i="100" a="1"/>
  <c r="Q903" i="100" a="1"/>
  <c r="Q1048" i="100" a="1"/>
  <c r="P681" i="100" a="1"/>
  <c r="P1101" i="100" a="1"/>
  <c r="P1114" i="100" a="1"/>
  <c r="P1012" i="100" a="1"/>
  <c r="Q619" i="100" a="1"/>
  <c r="P1194" i="100" a="1"/>
  <c r="Q960" i="100" a="1"/>
  <c r="Q1218" i="100" a="1"/>
  <c r="Q747" i="100" a="1"/>
  <c r="Q717" i="100" a="1"/>
  <c r="Q1143" i="100" a="1"/>
  <c r="Q1143" i="100" l="1"/>
  <c r="Q717" i="100"/>
  <c r="Q747" i="100"/>
  <c r="Q1218" i="100"/>
  <c r="T1553" i="100" s="1"/>
  <c r="J1553" i="100" s="1"/>
  <c r="K1553" i="100" s="1"/>
  <c r="Q960" i="100"/>
  <c r="P1194" i="100"/>
  <c r="Q619" i="100"/>
  <c r="P1012" i="100"/>
  <c r="P1114" i="100"/>
  <c r="P1101" i="100"/>
  <c r="P681" i="100"/>
  <c r="Q1048" i="100"/>
  <c r="Q903" i="100"/>
  <c r="Q566" i="100"/>
  <c r="Q1075" i="100"/>
  <c r="V1501" i="100" s="1"/>
  <c r="P581" i="100"/>
  <c r="Q1058" i="100"/>
  <c r="P1091" i="100"/>
  <c r="P998" i="100"/>
  <c r="P843" i="100"/>
  <c r="Q650" i="100"/>
  <c r="Q1101" i="100"/>
  <c r="P600" i="100"/>
  <c r="Q777" i="100"/>
  <c r="Q1023" i="100"/>
  <c r="P1023" i="100"/>
  <c r="P1075" i="100"/>
  <c r="Q551" i="100"/>
  <c r="P873" i="100"/>
  <c r="P941" i="100"/>
  <c r="Q1012" i="100"/>
  <c r="Q1194" i="100"/>
  <c r="P699" i="100"/>
  <c r="Q843" i="100"/>
  <c r="P825" i="100"/>
  <c r="P717" i="100"/>
  <c r="Q600" i="100"/>
  <c r="Q807" i="100"/>
  <c r="P566" i="100"/>
  <c r="Q1034" i="100"/>
  <c r="Q922" i="100"/>
  <c r="Q941" i="100"/>
  <c r="Q1091" i="100"/>
  <c r="P922" i="100"/>
  <c r="Q825" i="100"/>
  <c r="Q1114" i="100"/>
  <c r="P1034" i="100"/>
  <c r="P903" i="100"/>
  <c r="P551" i="100"/>
  <c r="P960" i="100"/>
  <c r="Q979" i="100"/>
  <c r="P1218" i="100"/>
  <c r="P792" i="100"/>
  <c r="Q681" i="100"/>
  <c r="Q873" i="100"/>
  <c r="P1058" i="100"/>
  <c r="P1048" i="100"/>
  <c r="Q998" i="100"/>
  <c r="P1143" i="100"/>
  <c r="P777" i="100"/>
  <c r="Q581" i="100"/>
  <c r="Q792" i="100"/>
  <c r="Q1169" i="100"/>
  <c r="P747" i="100"/>
  <c r="P650" i="100"/>
  <c r="P979" i="100"/>
  <c r="P1169" i="100"/>
  <c r="Q699" i="100"/>
  <c r="P807" i="100"/>
  <c r="P619" i="100"/>
  <c r="Y152" i="99"/>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I1553" i="100" l="1"/>
  <c r="W388" i="97"/>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K4" i="99" a="1"/>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6" i="100"/>
  <c r="B1871" i="100"/>
  <c r="C1079" i="100"/>
  <c r="C1063" i="100"/>
  <c r="B1903" i="100"/>
  <c r="B1170" i="100"/>
  <c r="C981" i="100"/>
  <c r="C962" i="100"/>
  <c r="C1910" i="100"/>
  <c r="C1144" i="100"/>
  <c r="B1865" i="100"/>
  <c r="B943" i="100"/>
  <c r="B1066" i="100"/>
  <c r="C1905" i="100"/>
  <c r="C923" i="100"/>
  <c r="B981" i="100"/>
  <c r="C1065" i="100"/>
  <c r="B1102" i="100"/>
  <c r="B1862" i="100"/>
  <c r="B1952" i="100"/>
  <c r="C1903" i="100"/>
  <c r="C1904" i="100"/>
  <c r="B999" i="100"/>
  <c r="B1953" i="100"/>
  <c r="B1902" i="100"/>
  <c r="B966" i="100"/>
  <c r="C942" i="100"/>
  <c r="B1880" i="100"/>
  <c r="B1905" i="100"/>
  <c r="B1950" i="100"/>
  <c r="C1908" i="100"/>
  <c r="C1066" i="100"/>
  <c r="C924" i="100"/>
  <c r="B961" i="100"/>
  <c r="B985" i="100"/>
  <c r="B928" i="100"/>
  <c r="C1170" i="100"/>
  <c r="C1863" i="100"/>
  <c r="C1035" i="100"/>
  <c r="B1864" i="100"/>
  <c r="C1861" i="100"/>
  <c r="B1080" i="100"/>
  <c r="C1102" i="100"/>
  <c r="C1067" i="100"/>
  <c r="B1064" i="100"/>
  <c r="C1115" i="100"/>
  <c r="B1195" i="100"/>
  <c r="C1064" i="100"/>
  <c r="C1083" i="100"/>
  <c r="B1951" i="100"/>
  <c r="B1866" i="100"/>
  <c r="C1953" i="100"/>
  <c r="C1907" i="100"/>
  <c r="B1908" i="100"/>
  <c r="C1952" i="100"/>
  <c r="B1904" i="100"/>
  <c r="C985" i="100"/>
  <c r="B1885" i="100"/>
  <c r="B1861" i="100"/>
  <c r="B1065" i="100"/>
  <c r="B1079" i="100"/>
  <c r="C1864" i="100"/>
  <c r="C947" i="100"/>
  <c r="B1878" i="100"/>
  <c r="B1063" i="100"/>
  <c r="C1081" i="100"/>
  <c r="C1950" i="100"/>
  <c r="B1024" i="100"/>
  <c r="B1863" i="100"/>
  <c r="C1871" i="100"/>
  <c r="B980" i="100"/>
  <c r="C1082" i="100"/>
  <c r="B1083" i="100"/>
  <c r="C1865" i="100"/>
  <c r="C966" i="100"/>
  <c r="C1080" i="100"/>
  <c r="B1067" i="100"/>
  <c r="B1144" i="100"/>
  <c r="B1000" i="100"/>
  <c r="B1081" i="100"/>
  <c r="B947" i="100"/>
  <c r="B1092" i="100"/>
  <c r="B1035" i="100"/>
  <c r="C1885" i="100"/>
  <c r="B1910" i="100"/>
  <c r="C961" i="100"/>
  <c r="C1000" i="100"/>
  <c r="C1877" i="100"/>
  <c r="B1049" i="100"/>
  <c r="C1013" i="100"/>
  <c r="B1115" i="100"/>
  <c r="C1951" i="100"/>
  <c r="B924" i="100"/>
  <c r="C1092" i="100"/>
  <c r="B942" i="100"/>
  <c r="B1082" i="100"/>
  <c r="C1879" i="100"/>
  <c r="B923" i="100"/>
  <c r="C1902" i="100"/>
  <c r="C943" i="100"/>
  <c r="C1195" i="100"/>
  <c r="C1909" i="100"/>
  <c r="C1878" i="100"/>
  <c r="C1880" i="100"/>
  <c r="B1013" i="100"/>
  <c r="C1862" i="100"/>
  <c r="B1907" i="100"/>
  <c r="C999" i="100"/>
  <c r="C980" i="100"/>
  <c r="B1877" i="100"/>
  <c r="B962" i="100"/>
  <c r="B1879" i="100"/>
  <c r="B1909" i="100"/>
  <c r="C928" i="100"/>
  <c r="C1049" i="100"/>
  <c r="C1024" i="100"/>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C1856" i="100"/>
  <c r="C808" i="100"/>
  <c r="B1882" i="100"/>
  <c r="C1868" i="100"/>
  <c r="B793" i="100"/>
  <c r="B1881" i="100"/>
  <c r="C809" i="100"/>
  <c r="C1857" i="100"/>
  <c r="B808" i="100"/>
  <c r="C909" i="100"/>
  <c r="C1876" i="100"/>
  <c r="C793" i="100"/>
  <c r="B909" i="100"/>
  <c r="C1855" i="100"/>
  <c r="C1881" i="100"/>
  <c r="C826" i="100"/>
  <c r="C1860" i="100"/>
  <c r="B826" i="100"/>
  <c r="B1868" i="100"/>
  <c r="B1857" i="100"/>
  <c r="B1867" i="100"/>
  <c r="C1882" i="100"/>
  <c r="B1856" i="100"/>
  <c r="B1949" i="100"/>
  <c r="B827" i="100"/>
  <c r="B809" i="100"/>
  <c r="C905" i="100"/>
  <c r="C1867" i="100"/>
  <c r="B904" i="100"/>
  <c r="C1949" i="100"/>
  <c r="B905" i="100"/>
  <c r="B1860" i="100"/>
  <c r="C904" i="100"/>
  <c r="B1876" i="100"/>
  <c r="B1855" i="100"/>
  <c r="C827" i="100"/>
  <c r="E222" i="94" l="1"/>
  <c r="AB37" i="97" s="1"/>
  <c r="D499" i="97" s="1"/>
  <c r="E221" i="94"/>
  <c r="AA37" i="97" s="1"/>
  <c r="D497" i="97" s="1"/>
  <c r="E210" i="94"/>
  <c r="E209" i="94"/>
  <c r="E198" i="94"/>
  <c r="E197" i="94"/>
  <c r="E187" i="94"/>
  <c r="E186" i="94"/>
  <c r="E170" i="94"/>
  <c r="E163" i="94"/>
  <c r="E162" i="94"/>
  <c r="E155" i="94"/>
  <c r="E154" i="94"/>
  <c r="E114" i="94"/>
  <c r="AA19" i="97" s="1"/>
  <c r="D245" i="97" s="1"/>
  <c r="E101" i="94"/>
  <c r="E100" i="94"/>
  <c r="E87" i="94"/>
  <c r="E86" i="94"/>
  <c r="E73" i="94"/>
  <c r="E72" i="94"/>
  <c r="E59" i="94"/>
  <c r="E58" i="94"/>
  <c r="E45" i="94"/>
  <c r="E44" i="94"/>
  <c r="E31" i="94"/>
  <c r="E30" i="94"/>
  <c r="E16" i="94"/>
  <c r="K180" i="94"/>
  <c r="C154" i="94" a="1"/>
  <c r="C154" i="94" l="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3" i="100"/>
  <c r="C700" i="100"/>
  <c r="B1851" i="100"/>
  <c r="B1854" i="100"/>
  <c r="C682" i="100"/>
  <c r="B1850" i="100"/>
  <c r="B778" i="100"/>
  <c r="C701" i="100"/>
  <c r="C778" i="100"/>
  <c r="C1854" i="100"/>
  <c r="C1851" i="100"/>
  <c r="B700" i="100"/>
  <c r="B682" i="100"/>
  <c r="B701" i="100"/>
  <c r="C1850" i="100"/>
  <c r="B683"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6" i="100"/>
  <c r="C1844" i="100"/>
  <c r="B1846" i="100"/>
  <c r="C567" i="100"/>
  <c r="C1873" i="100"/>
  <c r="C602" i="100"/>
  <c r="C1847" i="100"/>
  <c r="B1946" i="100"/>
  <c r="C606" i="100"/>
  <c r="B567" i="100"/>
  <c r="B601" i="100"/>
  <c r="C1845" i="100"/>
  <c r="B1872" i="100"/>
  <c r="B1945" i="100"/>
  <c r="B1847" i="100"/>
  <c r="C587" i="100"/>
  <c r="C1945" i="100"/>
  <c r="B1873" i="100"/>
  <c r="B1845" i="100"/>
  <c r="B1844" i="100"/>
  <c r="C1872" i="100"/>
  <c r="B552" i="100"/>
  <c r="B602" i="100"/>
  <c r="C552" i="100"/>
  <c r="C1846" i="100"/>
  <c r="B606" i="100"/>
  <c r="C601" i="100"/>
  <c r="B587"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C35" i="99" a="1"/>
  <c r="X37" i="99" a="1"/>
  <c r="AA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AT219" i="99" a="1"/>
  <c r="AD269" i="99" a="1"/>
  <c r="M286" i="99" a="1"/>
  <c r="C400" i="99" a="1"/>
  <c r="AC114" i="99" a="1"/>
  <c r="AH114" i="99" a="1"/>
  <c r="I89" i="99" a="1"/>
  <c r="AD219" i="99" a="1"/>
  <c r="W224" i="99" a="1"/>
  <c r="E199" i="99" a="1"/>
  <c r="P165" i="99" a="1"/>
  <c r="I286" i="99" a="1"/>
  <c r="CC219" i="99" a="1"/>
  <c r="V66" i="99" a="1"/>
  <c r="AA219" i="99" a="1"/>
  <c r="E39" i="99" a="1"/>
  <c r="J396" i="99" a="1"/>
  <c r="F122" i="99" a="1"/>
  <c r="AE219" i="99" a="1"/>
  <c r="BL219" i="99" a="1"/>
  <c r="AB114" i="99" a="1"/>
  <c r="D94" i="99" a="1"/>
  <c r="L143" i="99" a="1"/>
  <c r="N13" i="99" a="1"/>
  <c r="H13" i="99" a="1"/>
  <c r="L219" i="99" a="1"/>
  <c r="V65" i="99" a="1"/>
  <c r="L165" i="99" a="1"/>
  <c r="Z89" i="99" a="1"/>
  <c r="AE358" i="99" a="1"/>
  <c r="AD60" i="99" a="1"/>
  <c r="F223" i="99" a="1"/>
  <c r="BM219" i="99" a="1"/>
  <c r="AG114" i="99" a="1"/>
  <c r="CG219" i="99" a="1"/>
  <c r="D120" i="99" a="1"/>
  <c r="F62" i="99" a="1"/>
  <c r="C378" i="99" a="1"/>
  <c r="G190" i="99" a="1"/>
  <c r="G114" i="99" a="1"/>
  <c r="H165" i="99" a="1"/>
  <c r="N4" i="99" a="1"/>
  <c r="Z219" i="99" a="1"/>
  <c r="AB396" i="99" a="1"/>
  <c r="N339" i="99" a="1"/>
  <c r="N244" i="99" a="1"/>
  <c r="AC396" i="99" a="1"/>
  <c r="E192" i="99" a="1"/>
  <c r="BE223" i="99" a="1"/>
  <c r="H269" i="99" a="1"/>
  <c r="K269" i="99" a="1"/>
  <c r="Y358" i="99" a="1"/>
  <c r="I13" i="99" a="1"/>
  <c r="F396" i="99" a="1"/>
  <c r="F197" i="99" a="1"/>
  <c r="E196" i="99" a="1"/>
  <c r="AG60" i="99" a="1"/>
  <c r="J60" i="99" a="1"/>
  <c r="AG190" i="99" a="1"/>
  <c r="D68" i="99" a="1"/>
  <c r="V399" i="99" a="1"/>
  <c r="P60" i="99" a="1"/>
  <c r="P4" i="99" a="1"/>
  <c r="O269" i="99" a="1"/>
  <c r="H114" i="99" a="1"/>
  <c r="I35" i="99" a="1"/>
  <c r="V378" i="99" a="1"/>
  <c r="AE165" i="99" a="1"/>
  <c r="CF219" i="99" a="1"/>
  <c r="AD165" i="99" a="1"/>
  <c r="V123" i="99" a="1"/>
  <c r="J114" i="99" a="1"/>
  <c r="G37" i="99" a="1"/>
  <c r="J375" i="99" a="1"/>
  <c r="D91" i="99" a="1"/>
  <c r="P35" i="99" a="1"/>
  <c r="E123" i="99" a="1"/>
  <c r="D305" i="99" a="1"/>
  <c r="BZ221" i="99" a="1"/>
  <c r="D378" i="99" a="1"/>
  <c r="V195" i="99" a="1"/>
  <c r="AG13" i="99" a="1"/>
  <c r="BN219" i="99" a="1"/>
  <c r="M190" i="99" a="1"/>
  <c r="G354" i="99" a="1"/>
  <c r="F67" i="99" a="1"/>
  <c r="V119" i="99" a="1"/>
  <c r="D93" i="99" a="1"/>
  <c r="P7" i="99" a="1"/>
  <c r="AE89" i="99" a="1"/>
  <c r="V224" i="99" a="1"/>
  <c r="D271" i="99" a="1"/>
  <c r="V64" i="99" a="1"/>
  <c r="BV223" i="99" a="1"/>
  <c r="AC13" i="99" a="1"/>
  <c r="W169" i="99" a="1"/>
  <c r="W121" i="99" a="1"/>
  <c r="N8" i="99" a="1"/>
  <c r="F375" i="99" a="1"/>
  <c r="N190" i="99" a="1"/>
  <c r="AN221" i="99" a="1"/>
  <c r="AO221" i="99" a="1"/>
  <c r="E198" i="99" a="1"/>
  <c r="D119" i="99" a="1"/>
  <c r="W94" i="99" a="1"/>
  <c r="Q219" i="99" a="1"/>
  <c r="J35" i="99" a="1"/>
  <c r="AE114" i="99" a="1"/>
  <c r="W194" i="99"/>
  <c r="AU221" i="99" a="1"/>
  <c r="BO219" i="99" a="1"/>
  <c r="M375" i="99" a="1"/>
  <c r="AH219" i="99" a="1"/>
  <c r="AI114" i="99" a="1"/>
  <c r="AB13" i="99" a="1"/>
  <c r="F195" i="99" a="1"/>
  <c r="G91" i="99" a="1"/>
  <c r="AE269" i="99" a="1"/>
  <c r="E335" i="99" a="1"/>
  <c r="F40" i="99" a="1"/>
  <c r="V91" i="99" a="1"/>
  <c r="I60" i="99" a="1"/>
  <c r="Z190" i="99" a="1"/>
  <c r="E67" i="99" a="1"/>
  <c r="K396" i="99" a="1"/>
  <c r="AP224" i="99" a="1"/>
  <c r="J358" i="99" a="1"/>
  <c r="AH60" i="99" a="1"/>
  <c r="AD143" i="99" a="1"/>
  <c r="G89" i="99" a="1"/>
  <c r="CD219" i="99" a="1"/>
  <c r="F123" i="99" a="1"/>
  <c r="J190" i="99" a="1"/>
  <c r="O143" i="99" a="1"/>
  <c r="E360" i="99" a="1"/>
  <c r="BX224" i="99" a="1"/>
  <c r="W116" i="99"/>
  <c r="D199" i="99" a="1"/>
  <c r="E197" i="99" a="1"/>
  <c r="CI219" i="99" a="1"/>
  <c r="H35" i="99" a="1"/>
  <c r="N320" i="99" a="1"/>
  <c r="Y35" i="99" a="1"/>
  <c r="AF35" i="99" a="1"/>
  <c r="X198" i="99" a="1"/>
  <c r="E377" i="99" a="1"/>
  <c r="F354" i="99" a="1"/>
  <c r="AF13" i="99" a="1"/>
  <c r="AI60" i="99" a="1"/>
  <c r="X66" i="99" a="1"/>
  <c r="BV224" i="99" a="1"/>
  <c r="E119" i="99" a="1"/>
  <c r="D354" i="99" a="1"/>
  <c r="G417" i="99" a="1"/>
  <c r="G396" i="99" a="1"/>
  <c r="C360" i="99" a="1"/>
  <c r="K221" i="99" a="1"/>
  <c r="BW221" i="99" a="1"/>
  <c r="P6" i="99" a="1"/>
  <c r="AD190" i="99" a="1"/>
  <c r="BY219" i="99" a="1"/>
  <c r="AI35" i="99" a="1"/>
  <c r="U360" i="99" a="1"/>
  <c r="F196" i="99" a="1"/>
  <c r="N375" i="99" a="1"/>
  <c r="C354" i="99" a="1"/>
  <c r="N303" i="99" a="1"/>
  <c r="I303" i="99" a="1"/>
  <c r="AW219" i="99" a="1"/>
  <c r="K165" i="99" a="1"/>
  <c r="U402" i="99" a="1"/>
  <c r="AH13" i="99" a="1"/>
  <c r="E249" i="99" a="1"/>
  <c r="AB358" i="99" a="1"/>
  <c r="G35" i="99" a="1"/>
  <c r="E122" i="99" a="1"/>
  <c r="E118" i="99"/>
  <c r="U401" i="99" a="1"/>
  <c r="BY221" i="99" a="1"/>
  <c r="Q60" i="99" a="1"/>
  <c r="E68" i="99" a="1"/>
  <c r="D335" i="99" a="1"/>
  <c r="G286" i="99" a="1"/>
  <c r="Z35" i="99" a="1"/>
  <c r="J143" i="99" a="1"/>
  <c r="AD358" i="99" a="1"/>
  <c r="E169" i="99" a="1"/>
  <c r="V15" i="99" a="1"/>
  <c r="X122" i="99" a="1"/>
  <c r="V120" i="99" a="1"/>
  <c r="E380" i="99" a="1"/>
  <c r="M303" i="99" a="1"/>
  <c r="W91" i="99" a="1"/>
  <c r="G244" i="99" a="1"/>
  <c r="AB60" i="99" a="1"/>
  <c r="V360" i="99" a="1"/>
  <c r="AF165" i="99" a="1"/>
  <c r="E94" i="99" a="1"/>
  <c r="K13" i="99" a="1"/>
  <c r="Y37" i="99" a="1"/>
  <c r="Y375" i="99" a="1"/>
  <c r="V400" i="99" a="1"/>
  <c r="W199" i="99" a="1"/>
  <c r="AG269" i="99" a="1"/>
  <c r="W118" i="99"/>
  <c r="L320" i="99" a="1"/>
  <c r="E170" i="99" a="1"/>
  <c r="J62" i="99" a="1"/>
  <c r="D170" i="99" a="1"/>
  <c r="I165" i="99" a="1"/>
  <c r="V223" i="99" a="1"/>
  <c r="AB62" i="99" a="1"/>
  <c r="W119" i="99" a="1"/>
  <c r="Y91" i="99" a="1"/>
  <c r="I219" i="99" a="1"/>
  <c r="W196" i="99" a="1"/>
  <c r="G13" i="99" a="1"/>
  <c r="G60" i="99" a="1"/>
  <c r="Y219" i="99" a="1"/>
  <c r="F417" i="99" a="1"/>
  <c r="W379" i="99" a="1"/>
  <c r="H244" i="99" a="1"/>
  <c r="N6" i="99" a="1"/>
  <c r="AU219" i="99" a="1"/>
  <c r="K89" i="99" a="1"/>
  <c r="V39" i="99" a="1"/>
  <c r="F118" i="99" a="1"/>
  <c r="V380" i="99" a="1"/>
  <c r="Y192" i="99" a="1"/>
  <c r="D122" i="99" a="1"/>
  <c r="BG224" i="99" a="1"/>
  <c r="H354" i="99" a="1"/>
  <c r="V194" i="99" a="1"/>
  <c r="G303" i="99" a="1"/>
  <c r="K375" i="99" a="1"/>
  <c r="U400" i="99" a="1"/>
  <c r="F64" i="99" a="1"/>
  <c r="AA13" i="99" a="1"/>
  <c r="AA358" i="99" a="1"/>
  <c r="D67" i="99" a="1"/>
  <c r="E379" i="99" a="1"/>
  <c r="G62" i="99"/>
  <c r="U399" i="99" a="1"/>
  <c r="E64" i="99"/>
  <c r="D194" i="99" a="1"/>
  <c r="X93" i="99" a="1"/>
  <c r="K219" i="99" a="1"/>
  <c r="H396" i="99" a="1"/>
  <c r="V170" i="99" a="1"/>
  <c r="Q190" i="99" a="1"/>
  <c r="I143" i="99" a="1"/>
  <c r="C401" i="99" a="1"/>
  <c r="L244" i="99" a="1"/>
  <c r="AO223" i="99" a="1"/>
  <c r="L190" i="99" a="1"/>
  <c r="D246" i="99" a="1"/>
  <c r="L269" i="99" a="1"/>
  <c r="X170" i="99" a="1"/>
  <c r="D116" i="99" a="1"/>
  <c r="AB89" i="99" a="1"/>
  <c r="Y165" i="99" a="1"/>
  <c r="BF223" i="99" a="1"/>
  <c r="CH219" i="99" a="1"/>
  <c r="BP219" i="99" a="1"/>
  <c r="X119" i="99" a="1"/>
  <c r="AY219" i="99" a="1"/>
  <c r="L303" i="99" a="1"/>
  <c r="F170" i="99" a="1"/>
  <c r="W67" i="99" a="1"/>
  <c r="V62" i="99" a="1"/>
  <c r="AF143" i="99" a="1"/>
  <c r="H143" i="99" a="1"/>
  <c r="D381" i="99" a="1"/>
  <c r="Y143" i="99" a="1"/>
  <c r="AC219" i="99" a="1"/>
  <c r="AC358" i="99" a="1"/>
  <c r="E354" i="99" a="1"/>
  <c r="J37" i="99" a="1"/>
  <c r="V379" i="99" a="1"/>
  <c r="D121" i="99" a="1"/>
  <c r="AB35" i="99" a="1"/>
  <c r="G375" i="99" a="1"/>
  <c r="D360" i="99" a="1"/>
  <c r="O35" i="99" a="1"/>
  <c r="E120" i="99" a="1"/>
  <c r="E288" i="99" a="1"/>
  <c r="U381" i="99" a="1"/>
  <c r="AB37" i="99" a="1"/>
  <c r="X192" i="99"/>
  <c r="M358" i="99" a="1"/>
  <c r="J417" i="99" a="1"/>
  <c r="AG143" i="99" a="1"/>
  <c r="N143" i="99" a="1"/>
  <c r="X94" i="99" a="1"/>
  <c r="W37" i="99" a="1"/>
  <c r="E271" i="99" a="1"/>
  <c r="BV221" i="99" a="1"/>
  <c r="AF219" i="99" a="1"/>
  <c r="L89" i="99" a="1"/>
  <c r="CB219" i="99" a="1"/>
  <c r="V402" i="99" a="1"/>
  <c r="M35" i="99" a="1"/>
  <c r="W198" i="99" a="1"/>
  <c r="O303" i="99" a="1"/>
  <c r="E65" i="99" a="1"/>
  <c r="M60" i="99" a="1"/>
  <c r="X195" i="99" a="1"/>
  <c r="D62" i="99" a="1"/>
  <c r="Z165" i="99" a="1"/>
  <c r="N286" i="99" a="1"/>
  <c r="BG221" i="99" a="1"/>
  <c r="W221" i="99" a="1"/>
  <c r="L339" i="99" a="1"/>
  <c r="V69" i="99" a="1"/>
  <c r="D398" i="99" a="1"/>
  <c r="W396" i="99" a="1"/>
  <c r="W68" i="99" a="1"/>
  <c r="M396" i="99" a="1"/>
  <c r="N165" i="99" a="1"/>
  <c r="W64" i="99"/>
  <c r="BI221" i="99" a="1"/>
  <c r="F121" i="99" a="1"/>
  <c r="M143" i="99" a="1"/>
  <c r="P114" i="99" a="1"/>
  <c r="AE35" i="99" a="1"/>
  <c r="F65" i="99" a="1"/>
  <c r="G143" i="99" a="1"/>
  <c r="D64" i="99" a="1"/>
  <c r="D380" i="99" a="1"/>
  <c r="E116" i="99"/>
  <c r="F37" i="99" a="1"/>
  <c r="F94" i="99" a="1"/>
  <c r="G165" i="99" a="1"/>
  <c r="J269" i="99" a="1"/>
  <c r="V398" i="99" a="1"/>
  <c r="BF224" i="99" a="1"/>
  <c r="D400" i="99" a="1"/>
  <c r="D39" i="99" a="1"/>
  <c r="F192" i="99"/>
  <c r="AA114" i="99" a="1"/>
  <c r="O219" i="99" a="1"/>
  <c r="AE143" i="99" a="1"/>
  <c r="AD396" i="99" a="1"/>
  <c r="C271" i="99" a="1"/>
  <c r="D224" i="99" a="1"/>
  <c r="H375" i="99" a="1"/>
  <c r="D288" i="99" a="1"/>
  <c r="X194" i="99" a="1"/>
  <c r="Y114" i="99" a="1"/>
  <c r="G269" i="99" a="1"/>
  <c r="AI165" i="99" a="1"/>
  <c r="W65" i="99" a="1"/>
  <c r="P5" i="99" a="1"/>
  <c r="AH89" i="99" a="1"/>
  <c r="D169" i="99" a="1"/>
  <c r="X62" i="99" a="1"/>
  <c r="E194" i="99"/>
  <c r="C379" i="99" a="1"/>
  <c r="U378" i="99" a="1"/>
  <c r="C381" i="99" a="1"/>
  <c r="Q165" i="99" a="1"/>
  <c r="H303" i="99" a="1"/>
  <c r="H89" i="99" a="1"/>
  <c r="AF114" i="99" a="1"/>
  <c r="AA396" i="99" a="1"/>
  <c r="E91" i="99" a="1"/>
  <c r="X121" i="99" a="1"/>
  <c r="D322" i="99" a="1"/>
  <c r="N60" i="99" a="1"/>
  <c r="AA165" i="99" a="1"/>
  <c r="X169" i="99" a="1"/>
  <c r="V198" i="99" a="1"/>
  <c r="F68" i="99" a="1"/>
  <c r="H221" i="99" a="1"/>
  <c r="J303" i="99" a="1"/>
  <c r="I375" i="99" a="1"/>
  <c r="BH219" i="99" a="1"/>
  <c r="D249" i="99" a="1"/>
  <c r="E40" i="99" a="1"/>
  <c r="AC375" i="99" a="1"/>
  <c r="X39" i="99" a="1"/>
  <c r="X223" i="99" a="1"/>
  <c r="F335" i="99" a="1"/>
  <c r="H339" i="99" a="1"/>
  <c r="D118" i="99" a="1"/>
  <c r="K320" i="99" a="1"/>
  <c r="X221" i="99" a="1"/>
  <c r="BR219" i="99" a="1"/>
  <c r="V169" i="99" a="1"/>
  <c r="N35" i="99" a="1"/>
  <c r="K358" i="99" a="1"/>
  <c r="P219" i="99" a="1"/>
  <c r="M320" i="99" a="1"/>
  <c r="Y89" i="99" a="1"/>
  <c r="M244" i="99" a="1"/>
  <c r="C288" i="99" a="1"/>
  <c r="BX221" i="99" a="1"/>
  <c r="M114" i="99" a="1"/>
  <c r="P190" i="99" a="1"/>
  <c r="F248" i="99" a="1"/>
  <c r="Y116" i="99" a="1"/>
  <c r="E167" i="99" a="1"/>
  <c r="AS219" i="99" a="1"/>
  <c r="D65" i="99" a="1"/>
  <c r="BQ219" i="99" a="1"/>
  <c r="E62" i="99" a="1"/>
  <c r="P89" i="99" a="1"/>
  <c r="X69" i="99" a="1"/>
  <c r="L13" i="99" a="1"/>
  <c r="AP221" i="99" a="1"/>
  <c r="AG89" i="99" a="1"/>
  <c r="W378" i="99" a="1"/>
  <c r="E69" i="99" a="1"/>
  <c r="BH221" i="99" a="1"/>
  <c r="F246" i="99" a="1"/>
  <c r="V122" i="99" a="1"/>
  <c r="O60" i="99" a="1"/>
  <c r="J339" i="99" a="1"/>
  <c r="Z396" i="99" a="1"/>
  <c r="D401" i="99" a="1"/>
  <c r="G221" i="99" a="1"/>
  <c r="AF269" i="99" a="1"/>
  <c r="Z269" i="99" a="1"/>
  <c r="I358" i="99" a="1"/>
  <c r="V67" i="99" a="1"/>
  <c r="X196" i="99" a="1"/>
  <c r="E417" i="99" a="1"/>
  <c r="K303" i="99" a="1"/>
  <c r="AE396" i="99" a="1"/>
  <c r="E37" i="99" a="1"/>
  <c r="V145" i="99" a="1"/>
  <c r="E341" i="99" a="1"/>
  <c r="AA375" i="99" a="1"/>
  <c r="BK219" i="99" a="1"/>
  <c r="AC165" i="99" a="1"/>
  <c r="E221" i="99" a="1"/>
  <c r="Z13" i="99" a="1"/>
  <c r="W93" i="99" a="1"/>
  <c r="W40" i="99" a="1"/>
  <c r="AG35" i="99" a="1"/>
  <c r="G320" i="99" a="1"/>
  <c r="V93" i="99" a="1"/>
  <c r="V381" i="99" a="1"/>
  <c r="BW224" i="99" a="1"/>
  <c r="AH143" i="99" a="1"/>
  <c r="L286" i="99" a="1"/>
  <c r="CC221" i="99" a="1"/>
  <c r="AV219" i="99" a="1"/>
  <c r="U379" i="99" a="1"/>
  <c r="H190" i="99" a="1"/>
  <c r="H286" i="99" a="1"/>
  <c r="J13" i="99" a="1"/>
  <c r="X120" i="99" a="1"/>
  <c r="Z60" i="99" a="1"/>
  <c r="G246" i="99" a="1"/>
  <c r="AH165" i="99" a="1"/>
  <c r="V116" i="99" a="1"/>
  <c r="D377" i="99" a="1"/>
  <c r="AF89" i="99" a="1"/>
  <c r="AE190" i="99" a="1"/>
  <c r="F224" i="99" a="1"/>
  <c r="O286" i="99" a="1"/>
  <c r="E195" i="99" a="1"/>
  <c r="Q35" i="99" a="1"/>
  <c r="W170" i="99" a="1"/>
  <c r="D145" i="99" a="1"/>
  <c r="N269" i="99" a="1"/>
  <c r="Y396" i="99" a="1"/>
  <c r="X224" i="99" a="1"/>
  <c r="G339" i="99" a="1"/>
  <c r="X123" i="99" a="1"/>
  <c r="AF375" i="99" a="1"/>
  <c r="AA269" i="99" a="1"/>
  <c r="K190" i="99" a="1"/>
  <c r="O244" i="99" a="1"/>
  <c r="Q89" i="99" a="1"/>
  <c r="H320" i="99" a="1"/>
  <c r="X375" i="99" a="1"/>
  <c r="G358" i="99" a="1"/>
  <c r="AC143" i="99" a="1"/>
  <c r="AN224" i="99" a="1"/>
  <c r="W223" i="99" a="1"/>
  <c r="AB269" i="99" a="1"/>
  <c r="AD89" i="99" a="1"/>
  <c r="AP223" i="99" a="1"/>
  <c r="Y13" i="99" a="1"/>
  <c r="CE219" i="99" a="1"/>
  <c r="D379" i="99" a="1"/>
  <c r="L60" i="99" a="1"/>
  <c r="AC89" i="99" a="1"/>
  <c r="W62" i="99" a="1"/>
  <c r="U377" i="99" a="1"/>
  <c r="I190" i="99" a="1"/>
  <c r="E246" i="99" a="1"/>
  <c r="F119" i="99" a="1"/>
  <c r="E378" i="99" a="1"/>
  <c r="D66" i="99" a="1"/>
  <c r="X40" i="99" a="1"/>
  <c r="F120" i="99" a="1"/>
  <c r="AA143" i="99" a="1"/>
  <c r="D341" i="99" a="1"/>
  <c r="J89" i="99" a="1"/>
  <c r="AB219" i="99" a="1"/>
  <c r="L114" i="99" a="1"/>
  <c r="M165" i="99" a="1"/>
  <c r="AB190" i="99" a="1"/>
  <c r="I244" i="99" a="1"/>
  <c r="F69" i="99" a="1"/>
  <c r="Y269" i="99" a="1"/>
  <c r="F194" i="99" a="1"/>
  <c r="V377" i="99" a="1"/>
  <c r="AZ219" i="99" a="1"/>
  <c r="I320" i="99" a="1"/>
  <c r="AD35" i="99" a="1"/>
  <c r="C91" i="99" a="1"/>
  <c r="AD114" i="99" a="1"/>
  <c r="BZ219" i="99" a="1"/>
  <c r="C322" i="99" a="1"/>
  <c r="H417" i="99" a="1"/>
  <c r="E121" i="99" a="1"/>
  <c r="Y62" i="99"/>
  <c r="I269" i="99" a="1"/>
  <c r="V401" i="99" a="1"/>
  <c r="U380" i="99" a="1"/>
  <c r="N219" i="99" a="1"/>
  <c r="M339" i="99" a="1"/>
  <c r="AC60" i="99" a="1"/>
  <c r="J320" i="99" a="1"/>
  <c r="H219" i="99" a="1"/>
  <c r="K286" i="99" a="1"/>
  <c r="Q244" i="99" a="1"/>
  <c r="BF221" i="99" a="1"/>
  <c r="W360" i="99" a="1"/>
  <c r="C335" i="99" a="1"/>
  <c r="H60" i="99" a="1"/>
  <c r="Q114" i="99" a="1"/>
  <c r="V196" i="99" a="1"/>
  <c r="U91" i="99" a="1"/>
  <c r="AQ219" i="99" a="1"/>
  <c r="C380" i="99" a="1"/>
  <c r="E375" i="99" a="1"/>
  <c r="AR221" i="99" a="1"/>
  <c r="N114" i="99" a="1"/>
  <c r="C402" i="99" a="1"/>
  <c r="X396" i="99" a="1"/>
  <c r="AD13" i="99" a="1"/>
  <c r="X67" i="99" a="1"/>
  <c r="L358" i="99" a="1"/>
  <c r="P303" i="99" a="1"/>
  <c r="V68" i="99" a="1"/>
  <c r="AA60" i="99" a="1"/>
  <c r="K35" i="99" a="1"/>
  <c r="BE224" i="99" a="1"/>
  <c r="AC269" i="99" a="1"/>
  <c r="W167" i="99" a="1"/>
  <c r="D15" i="99" a="1"/>
  <c r="Z143" i="99" a="1"/>
  <c r="AX219" i="99" a="1"/>
  <c r="F249" i="99" a="1"/>
  <c r="E93" i="99" a="1"/>
  <c r="F93" i="99" a="1"/>
  <c r="D37" i="99" a="1"/>
  <c r="I417" i="99" a="1"/>
  <c r="P244" i="99" a="1"/>
  <c r="J244" i="99" a="1"/>
  <c r="H335" i="99" a="1"/>
  <c r="X167" i="99" a="1"/>
  <c r="V118" i="99" a="1"/>
  <c r="AI219" i="99" a="1"/>
  <c r="L375" i="99" a="1"/>
  <c r="AG165" i="99" a="1"/>
  <c r="AI89" i="99" a="1"/>
  <c r="BJ219" i="99" a="1"/>
  <c r="V197" i="99" a="1"/>
  <c r="W123" i="99" a="1"/>
  <c r="Y221" i="99" a="1"/>
  <c r="N5" i="99" a="1"/>
  <c r="F221" i="99" a="1"/>
  <c r="C398" i="99" a="1"/>
  <c r="K114" i="99" a="1"/>
  <c r="U271" i="99" a="1"/>
  <c r="M13" i="99" a="1"/>
  <c r="N89" i="99" a="1"/>
  <c r="G167" i="99" a="1"/>
  <c r="J286" i="99" a="1"/>
  <c r="AB165" i="99" a="1"/>
  <c r="D167" i="99" a="1"/>
  <c r="AC221" i="99" a="1"/>
  <c r="K339" i="99" a="1"/>
  <c r="G335" i="99" a="1"/>
  <c r="V40" i="99" a="1"/>
  <c r="O114" i="99" a="1"/>
  <c r="AA190" i="99" a="1"/>
  <c r="M89" i="99" a="1"/>
  <c r="N9" i="99" a="1"/>
  <c r="V221" i="99" a="1"/>
  <c r="X199" i="99" a="1"/>
  <c r="U398" i="99" a="1"/>
  <c r="AR219" i="99" a="1"/>
  <c r="O190" i="99" a="1"/>
  <c r="W271" i="99" a="1"/>
  <c r="AH190" i="99" a="1"/>
  <c r="AB143" i="99" a="1"/>
  <c r="F66" i="99" a="1"/>
  <c r="M269" i="99" a="1"/>
  <c r="K244" i="99" a="1"/>
  <c r="G192" i="99" a="1"/>
  <c r="K60" i="99" a="1"/>
  <c r="AB375" i="99" a="1"/>
  <c r="AF60" i="99" a="1"/>
  <c r="G219" i="99" a="1"/>
  <c r="I114" i="99" a="1"/>
  <c r="AD375" i="99" a="1"/>
  <c r="Z221" i="99" a="1"/>
  <c r="O13" i="99" a="1"/>
  <c r="V271" i="99" a="1"/>
  <c r="BI219" i="99" a="1"/>
  <c r="N7" i="99" a="1"/>
  <c r="I396" i="99" a="1"/>
  <c r="D402" i="99" a="1"/>
  <c r="X68" i="99" a="1"/>
  <c r="C377" i="99" a="1"/>
  <c r="D197" i="99" a="1"/>
  <c r="J165" i="99" a="1"/>
  <c r="G116" i="99" a="1"/>
  <c r="Y60" i="99" a="1"/>
  <c r="D69" i="99" a="1"/>
  <c r="F169" i="99" a="1"/>
  <c r="L396" i="99" a="1"/>
  <c r="W66" i="99" a="1"/>
  <c r="D399" i="99" a="1"/>
  <c r="V94" i="99" a="1"/>
  <c r="E396" i="99" a="1"/>
  <c r="D196" i="99" a="1"/>
  <c r="E322" i="99" a="1"/>
  <c r="V199" i="99" a="1"/>
  <c r="V37" i="99" a="1"/>
  <c r="AE13" i="99" a="1"/>
  <c r="K143" i="99" a="1"/>
  <c r="E224" i="99" a="1"/>
  <c r="W120" i="99" a="1"/>
  <c r="J219" i="99" a="1"/>
  <c r="P13" i="99" a="1"/>
  <c r="F198" i="99" a="1"/>
  <c r="F199" i="99" a="1"/>
  <c r="F167" i="99" a="1"/>
  <c r="D192" i="99" a="1"/>
  <c r="D198" i="99" a="1"/>
  <c r="AQ221" i="99" a="1"/>
  <c r="X118" i="99" a="1"/>
  <c r="BG223" i="99" a="1"/>
  <c r="W380" i="99" a="1"/>
  <c r="V167" i="99" a="1"/>
  <c r="W195" i="99" a="1"/>
  <c r="AH35" i="99" a="1"/>
  <c r="Z375" i="99" a="1"/>
  <c r="W377" i="99" a="1"/>
  <c r="AF190" i="99" a="1"/>
  <c r="BX223" i="99" a="1"/>
  <c r="E66" i="99" a="1"/>
  <c r="H358" i="99" a="1"/>
  <c r="W197" i="99" a="1"/>
  <c r="D123" i="99" a="1"/>
  <c r="X64" i="99" a="1"/>
  <c r="E381" i="99" a="1"/>
  <c r="W192" i="99" a="1"/>
  <c r="I339" i="99" a="1"/>
  <c r="V121" i="99" a="1"/>
  <c r="O89" i="99" a="1"/>
  <c r="E223" i="99" a="1"/>
  <c r="AE375" i="99" a="1"/>
  <c r="AN223" i="99" a="1"/>
  <c r="D223" i="99" a="1"/>
  <c r="C341" i="99" a="1"/>
  <c r="AC190" i="99" a="1"/>
  <c r="BW223" i="99" a="1"/>
  <c r="BE221" i="99" a="1"/>
  <c r="D195" i="99" a="1"/>
  <c r="V192" i="99" a="1"/>
  <c r="L35" i="99" a="1"/>
  <c r="D40" i="99" a="1"/>
  <c r="Z114" i="99" a="1"/>
  <c r="W39" i="99" a="1"/>
  <c r="W69" i="99" a="1"/>
  <c r="CA219" i="99" a="1"/>
  <c r="AE60" i="99" a="1"/>
  <c r="P143" i="99" a="1"/>
  <c r="AA89" i="99" a="1"/>
  <c r="W122" i="99" a="1"/>
  <c r="M219" i="99" a="1"/>
  <c r="Y190" i="99" a="1"/>
  <c r="F39" i="99" a="1"/>
  <c r="BA219" i="99" a="1"/>
  <c r="C399" i="99" a="1"/>
  <c r="Z358" i="99" a="1"/>
  <c r="O165" i="99" a="1"/>
  <c r="AG219" i="99" a="1"/>
  <c r="Y167" i="99" a="1"/>
  <c r="AO224" i="99" a="1"/>
  <c r="D221" i="99" a="1"/>
  <c r="W375" i="99" a="1"/>
  <c r="E248" i="99" a="1"/>
  <c r="W381" i="99" a="1"/>
  <c r="BL221" i="99" a="1"/>
  <c r="AI190" i="99" a="1"/>
  <c r="D248" i="99" a="1"/>
  <c r="X65" i="99" a="1"/>
  <c r="X197" i="99" a="1"/>
  <c r="W198" i="99" l="1"/>
  <c r="BG223" i="99"/>
  <c r="F197" i="99"/>
  <c r="G375" i="99"/>
  <c r="C288" i="99"/>
  <c r="N143" i="99"/>
  <c r="AW219" i="99"/>
  <c r="I35" i="99"/>
  <c r="W197" i="99"/>
  <c r="Z143" i="99"/>
  <c r="F120" i="99"/>
  <c r="AR219" i="99"/>
  <c r="W91" i="99"/>
  <c r="E380" i="99"/>
  <c r="Q60" i="99"/>
  <c r="Y375" i="99"/>
  <c r="V118" i="99"/>
  <c r="Z60" i="99"/>
  <c r="AF143" i="99"/>
  <c r="L396" i="99"/>
  <c r="N7" i="99"/>
  <c r="D93" i="99"/>
  <c r="E123" i="99"/>
  <c r="D223" i="99"/>
  <c r="W170" i="99"/>
  <c r="AI165" i="99"/>
  <c r="AD13" i="99"/>
  <c r="H60" i="99"/>
  <c r="U380" i="99"/>
  <c r="AP221" i="99"/>
  <c r="K244" i="99"/>
  <c r="C398" i="99"/>
  <c r="H303" i="99"/>
  <c r="H396" i="99"/>
  <c r="V381" i="99"/>
  <c r="E341" i="99"/>
  <c r="G221" i="99"/>
  <c r="Z358" i="99"/>
  <c r="W69" i="99"/>
  <c r="Q89" i="99"/>
  <c r="D116" i="99"/>
  <c r="E377" i="99"/>
  <c r="AA114" i="99"/>
  <c r="D380" i="99"/>
  <c r="M396" i="99"/>
  <c r="AA143" i="99"/>
  <c r="G335" i="99"/>
  <c r="F68" i="99"/>
  <c r="K221" i="99"/>
  <c r="Z219" i="99"/>
  <c r="F64" i="99"/>
  <c r="V39" i="99"/>
  <c r="I219" i="99"/>
  <c r="X40" i="99"/>
  <c r="CE219" i="99"/>
  <c r="V62" i="99"/>
  <c r="F396" i="99"/>
  <c r="E94" i="99"/>
  <c r="E360" i="99"/>
  <c r="E67" i="99"/>
  <c r="AH219" i="99"/>
  <c r="M244" i="99"/>
  <c r="H339" i="99"/>
  <c r="I303" i="99"/>
  <c r="AB143" i="99"/>
  <c r="X118" i="99"/>
  <c r="F223" i="99"/>
  <c r="AB114" i="99"/>
  <c r="E199" i="99"/>
  <c r="AG143" i="99"/>
  <c r="AB35" i="99"/>
  <c r="H114" i="99"/>
  <c r="H358" i="99"/>
  <c r="D15" i="99"/>
  <c r="E167" i="99"/>
  <c r="AO224" i="99"/>
  <c r="J89" i="99"/>
  <c r="V120" i="99"/>
  <c r="BY221" i="99"/>
  <c r="F375" i="99"/>
  <c r="X167" i="99"/>
  <c r="X120" i="99"/>
  <c r="K143" i="99"/>
  <c r="F169" i="99"/>
  <c r="BI219" i="99"/>
  <c r="V119" i="99"/>
  <c r="P35" i="99"/>
  <c r="AN223" i="99"/>
  <c r="Q35" i="99"/>
  <c r="G269" i="99"/>
  <c r="X396" i="99"/>
  <c r="C335" i="99"/>
  <c r="V401" i="99"/>
  <c r="AO221" i="99"/>
  <c r="M60" i="99"/>
  <c r="F221" i="99"/>
  <c r="Q165" i="99"/>
  <c r="K219" i="99"/>
  <c r="V93" i="99"/>
  <c r="V145" i="99"/>
  <c r="D401" i="99"/>
  <c r="C399" i="99"/>
  <c r="W39" i="99"/>
  <c r="O244" i="99"/>
  <c r="X170" i="99"/>
  <c r="X198" i="99"/>
  <c r="D64" i="99"/>
  <c r="W68" i="99"/>
  <c r="X94" i="99"/>
  <c r="K339" i="99"/>
  <c r="V198" i="99"/>
  <c r="C360" i="99"/>
  <c r="N4" i="99"/>
  <c r="U400" i="99"/>
  <c r="K89" i="99"/>
  <c r="Y91" i="99"/>
  <c r="D66" i="99"/>
  <c r="Y13" i="99"/>
  <c r="W67" i="99"/>
  <c r="I13" i="99"/>
  <c r="E248" i="99"/>
  <c r="O143" i="99"/>
  <c r="Z190" i="99"/>
  <c r="M375" i="99"/>
  <c r="Y89" i="99"/>
  <c r="F335" i="99"/>
  <c r="N303" i="99"/>
  <c r="BQ219" i="99"/>
  <c r="AQ221" i="99"/>
  <c r="AD60" i="99"/>
  <c r="BL219" i="99"/>
  <c r="W224" i="99"/>
  <c r="J417" i="99"/>
  <c r="D121" i="99"/>
  <c r="O269" i="99"/>
  <c r="E66" i="99"/>
  <c r="W167" i="99"/>
  <c r="BV223" i="99"/>
  <c r="AF219" i="99"/>
  <c r="AG219" i="99"/>
  <c r="X122" i="99"/>
  <c r="U401" i="99"/>
  <c r="F194" i="99"/>
  <c r="H335" i="99"/>
  <c r="J13" i="99"/>
  <c r="AE13" i="99"/>
  <c r="D69" i="99"/>
  <c r="V271" i="99"/>
  <c r="F67" i="99"/>
  <c r="D91" i="99"/>
  <c r="AE375" i="99"/>
  <c r="E195" i="99"/>
  <c r="Y114" i="99"/>
  <c r="C402" i="99"/>
  <c r="W360" i="99"/>
  <c r="I269" i="99"/>
  <c r="G192" i="99"/>
  <c r="X65" i="99"/>
  <c r="N5" i="99"/>
  <c r="C381" i="99"/>
  <c r="X93" i="99"/>
  <c r="G320" i="99"/>
  <c r="E37" i="99"/>
  <c r="Z396" i="99"/>
  <c r="BA219" i="99"/>
  <c r="Z114" i="99"/>
  <c r="K190" i="99"/>
  <c r="L269" i="99"/>
  <c r="AF35" i="99"/>
  <c r="D39" i="99"/>
  <c r="G143" i="99"/>
  <c r="W396" i="99"/>
  <c r="P7" i="99"/>
  <c r="AC221" i="99"/>
  <c r="X169" i="99"/>
  <c r="G396" i="99"/>
  <c r="H165" i="99"/>
  <c r="K375" i="99"/>
  <c r="AU219" i="99"/>
  <c r="W119" i="99"/>
  <c r="E378" i="99"/>
  <c r="AP223" i="99"/>
  <c r="F170" i="99"/>
  <c r="Y358" i="99"/>
  <c r="V402" i="99"/>
  <c r="J190" i="99"/>
  <c r="I60" i="99"/>
  <c r="BO219" i="99"/>
  <c r="M320" i="99"/>
  <c r="X223" i="99"/>
  <c r="C354" i="99"/>
  <c r="W121" i="99"/>
  <c r="D198" i="99"/>
  <c r="AE358" i="99"/>
  <c r="AE219" i="99"/>
  <c r="AD219" i="99"/>
  <c r="M358" i="99"/>
  <c r="V379" i="99"/>
  <c r="P4" i="99"/>
  <c r="BX223" i="99"/>
  <c r="AC269" i="99"/>
  <c r="V360" i="99"/>
  <c r="F248" i="99"/>
  <c r="E271" i="99"/>
  <c r="V15" i="99"/>
  <c r="F66" i="99"/>
  <c r="J244" i="99"/>
  <c r="H286" i="99"/>
  <c r="V37" i="99"/>
  <c r="Y60" i="99"/>
  <c r="O13" i="99"/>
  <c r="G354" i="99"/>
  <c r="J375" i="99"/>
  <c r="E223" i="99"/>
  <c r="O286" i="99"/>
  <c r="X194" i="99"/>
  <c r="N114" i="99"/>
  <c r="BF221" i="99"/>
  <c r="AG269" i="99"/>
  <c r="X69" i="99"/>
  <c r="Y221" i="99"/>
  <c r="U378" i="99"/>
  <c r="D194" i="99"/>
  <c r="AG35" i="99"/>
  <c r="AE396" i="99"/>
  <c r="J339" i="99"/>
  <c r="F39" i="99"/>
  <c r="D40" i="99"/>
  <c r="AA269" i="99"/>
  <c r="D246" i="99"/>
  <c r="Y35" i="99"/>
  <c r="D400" i="99"/>
  <c r="F65" i="99"/>
  <c r="D398" i="99"/>
  <c r="X199" i="99"/>
  <c r="D167" i="99"/>
  <c r="AA165" i="99"/>
  <c r="G417" i="99"/>
  <c r="G114" i="99"/>
  <c r="G303" i="99"/>
  <c r="N6" i="99"/>
  <c r="AB62" i="99"/>
  <c r="F119" i="99"/>
  <c r="AD89" i="99"/>
  <c r="L303" i="99"/>
  <c r="K269" i="99"/>
  <c r="W271" i="99"/>
  <c r="F123" i="99"/>
  <c r="V91" i="99"/>
  <c r="AU221" i="99"/>
  <c r="P219" i="99"/>
  <c r="X39" i="99"/>
  <c r="N375" i="99"/>
  <c r="K13" i="99"/>
  <c r="D192" i="99"/>
  <c r="Z89" i="99"/>
  <c r="F122" i="99"/>
  <c r="I89" i="99"/>
  <c r="J37" i="99"/>
  <c r="P60" i="99"/>
  <c r="AF190" i="99"/>
  <c r="BE224" i="99"/>
  <c r="M165" i="99"/>
  <c r="D271" i="99"/>
  <c r="U398" i="99"/>
  <c r="E169" i="99"/>
  <c r="E122" i="99"/>
  <c r="O303" i="99"/>
  <c r="P244" i="99"/>
  <c r="H190" i="99"/>
  <c r="V199" i="99"/>
  <c r="G116" i="99"/>
  <c r="Z221" i="99"/>
  <c r="M190" i="99"/>
  <c r="G37" i="99"/>
  <c r="O89" i="99"/>
  <c r="F224" i="99"/>
  <c r="D288" i="99"/>
  <c r="AR221" i="99"/>
  <c r="Q244" i="99"/>
  <c r="E121" i="99"/>
  <c r="I320" i="99"/>
  <c r="V400" i="99"/>
  <c r="W123" i="99"/>
  <c r="C379" i="99"/>
  <c r="W40" i="99"/>
  <c r="K303" i="99"/>
  <c r="O60" i="99"/>
  <c r="Y190" i="99"/>
  <c r="L35" i="99"/>
  <c r="AF375" i="99"/>
  <c r="L190" i="99"/>
  <c r="N320" i="99"/>
  <c r="BF224" i="99"/>
  <c r="AE35" i="99"/>
  <c r="V69" i="99"/>
  <c r="BX221" i="99"/>
  <c r="AB165" i="99"/>
  <c r="N60" i="99"/>
  <c r="D354" i="99"/>
  <c r="G190" i="99"/>
  <c r="V194" i="99"/>
  <c r="H244" i="99"/>
  <c r="V223" i="99"/>
  <c r="E246" i="99"/>
  <c r="AB269" i="99"/>
  <c r="AY219" i="99"/>
  <c r="H269" i="99"/>
  <c r="AC13" i="99"/>
  <c r="CD219" i="99"/>
  <c r="F40" i="99"/>
  <c r="K358" i="99"/>
  <c r="AC375" i="99"/>
  <c r="F196" i="99"/>
  <c r="F69" i="99"/>
  <c r="F167" i="99"/>
  <c r="L165" i="99"/>
  <c r="J396" i="99"/>
  <c r="AH114" i="99"/>
  <c r="AB37" i="99"/>
  <c r="E354" i="99"/>
  <c r="V399" i="99"/>
  <c r="W377" i="99"/>
  <c r="K35" i="99"/>
  <c r="D221" i="99"/>
  <c r="AB219" i="99"/>
  <c r="W37" i="99"/>
  <c r="AD358" i="99"/>
  <c r="G35" i="99"/>
  <c r="AI190" i="99"/>
  <c r="I417" i="99"/>
  <c r="U379" i="99"/>
  <c r="E322" i="99"/>
  <c r="J165" i="99"/>
  <c r="AD375" i="99"/>
  <c r="BN219" i="99"/>
  <c r="J114" i="99"/>
  <c r="V121" i="99"/>
  <c r="AE190" i="99"/>
  <c r="H375" i="99"/>
  <c r="E375" i="99"/>
  <c r="K286" i="99"/>
  <c r="H417" i="99"/>
  <c r="X197" i="99"/>
  <c r="N190" i="99"/>
  <c r="V197" i="99"/>
  <c r="U399" i="99"/>
  <c r="W93" i="99"/>
  <c r="E417" i="99"/>
  <c r="V122" i="99"/>
  <c r="M219" i="99"/>
  <c r="V192" i="99"/>
  <c r="X123" i="99"/>
  <c r="AO223" i="99"/>
  <c r="H35" i="99"/>
  <c r="V398" i="99"/>
  <c r="P114" i="99"/>
  <c r="L339" i="99"/>
  <c r="V221" i="99"/>
  <c r="J286" i="99"/>
  <c r="D322" i="99"/>
  <c r="E119" i="99"/>
  <c r="C378" i="99"/>
  <c r="H354" i="99"/>
  <c r="W379" i="99"/>
  <c r="I165" i="99"/>
  <c r="I190" i="99"/>
  <c r="W223" i="99"/>
  <c r="X119" i="99"/>
  <c r="BE223" i="99"/>
  <c r="AS219" i="99"/>
  <c r="G89" i="99"/>
  <c r="E335" i="99"/>
  <c r="AE114" i="99"/>
  <c r="N35" i="99"/>
  <c r="E40" i="99"/>
  <c r="U360" i="99"/>
  <c r="M35" i="99"/>
  <c r="F199" i="99"/>
  <c r="V65" i="99"/>
  <c r="E39" i="99"/>
  <c r="AC114" i="99"/>
  <c r="U381" i="99"/>
  <c r="AC358" i="99"/>
  <c r="D68" i="99"/>
  <c r="Z375" i="99"/>
  <c r="AA60" i="99"/>
  <c r="L89" i="99"/>
  <c r="G244" i="99"/>
  <c r="AE89" i="99"/>
  <c r="J143" i="99"/>
  <c r="AB358" i="99"/>
  <c r="E62" i="99"/>
  <c r="D37" i="99"/>
  <c r="AV219" i="99"/>
  <c r="D196" i="99"/>
  <c r="D197" i="99"/>
  <c r="I114" i="99"/>
  <c r="AG13" i="99"/>
  <c r="V123" i="99"/>
  <c r="I339" i="99"/>
  <c r="AF89" i="99"/>
  <c r="D224" i="99"/>
  <c r="C380" i="99"/>
  <c r="H219" i="99"/>
  <c r="C322" i="99"/>
  <c r="X195" i="99"/>
  <c r="V377" i="99"/>
  <c r="BJ219" i="99"/>
  <c r="X62" i="99"/>
  <c r="Z13" i="99"/>
  <c r="X196" i="99"/>
  <c r="F246" i="99"/>
  <c r="W122" i="99"/>
  <c r="D195" i="99"/>
  <c r="G339" i="99"/>
  <c r="L244" i="99"/>
  <c r="CI219" i="99"/>
  <c r="J269" i="99"/>
  <c r="M143" i="99"/>
  <c r="W221" i="99"/>
  <c r="N9" i="99"/>
  <c r="G167" i="99"/>
  <c r="X121" i="99"/>
  <c r="BV224" i="99"/>
  <c r="F62" i="99"/>
  <c r="BG224" i="99"/>
  <c r="F417" i="99"/>
  <c r="D170" i="99"/>
  <c r="U377" i="99"/>
  <c r="AN224" i="99"/>
  <c r="BP219" i="99"/>
  <c r="E192" i="99"/>
  <c r="AB190" i="99"/>
  <c r="AD143" i="99"/>
  <c r="AE269" i="99"/>
  <c r="J35" i="99"/>
  <c r="V169" i="99"/>
  <c r="D249" i="99"/>
  <c r="AI35" i="99"/>
  <c r="W381" i="99"/>
  <c r="F198" i="99"/>
  <c r="L219" i="99"/>
  <c r="AA219" i="99"/>
  <c r="C400" i="99"/>
  <c r="E288" i="99"/>
  <c r="AC219" i="99"/>
  <c r="AG190" i="99"/>
  <c r="AH35" i="99"/>
  <c r="V68" i="99"/>
  <c r="L114" i="99"/>
  <c r="Y167" i="99"/>
  <c r="D341" i="99"/>
  <c r="Z35" i="99"/>
  <c r="E249" i="99"/>
  <c r="Y37" i="99"/>
  <c r="F93" i="99"/>
  <c r="CC221" i="99"/>
  <c r="E396" i="99"/>
  <c r="C377" i="99"/>
  <c r="G219" i="99"/>
  <c r="V195" i="99"/>
  <c r="AD165" i="99"/>
  <c r="W192" i="99"/>
  <c r="D377" i="99"/>
  <c r="C271" i="99"/>
  <c r="AQ219" i="99"/>
  <c r="J320" i="99"/>
  <c r="BZ219" i="99"/>
  <c r="L13" i="99"/>
  <c r="M269" i="99"/>
  <c r="AI89" i="99"/>
  <c r="D169" i="99"/>
  <c r="E379" i="99"/>
  <c r="E221" i="99"/>
  <c r="V67" i="99"/>
  <c r="BH221" i="99"/>
  <c r="AA89" i="99"/>
  <c r="BE221" i="99"/>
  <c r="X224" i="99"/>
  <c r="C401" i="99"/>
  <c r="E197" i="99"/>
  <c r="G165" i="99"/>
  <c r="F121" i="99"/>
  <c r="BG221" i="99"/>
  <c r="M89" i="99"/>
  <c r="N89" i="99"/>
  <c r="E91" i="99"/>
  <c r="X66" i="99"/>
  <c r="D120" i="99"/>
  <c r="D122" i="99"/>
  <c r="Y219" i="99"/>
  <c r="J62" i="99"/>
  <c r="W62" i="99"/>
  <c r="AC143" i="99"/>
  <c r="CH219" i="99"/>
  <c r="AC396" i="99"/>
  <c r="AF165" i="99"/>
  <c r="AH60" i="99"/>
  <c r="G91" i="99"/>
  <c r="Q219" i="99"/>
  <c r="BR219" i="99"/>
  <c r="BH219" i="99"/>
  <c r="BY219" i="99"/>
  <c r="AH190" i="99"/>
  <c r="P13" i="99"/>
  <c r="H13" i="99"/>
  <c r="V66" i="99"/>
  <c r="M286" i="99"/>
  <c r="E120" i="99"/>
  <c r="Y143" i="99"/>
  <c r="J60" i="99"/>
  <c r="W195" i="99"/>
  <c r="P303" i="99"/>
  <c r="Y116" i="99"/>
  <c r="BV221" i="99"/>
  <c r="M114" i="99"/>
  <c r="G286" i="99"/>
  <c r="AH13" i="99"/>
  <c r="N8" i="99"/>
  <c r="E93" i="99"/>
  <c r="L286" i="99"/>
  <c r="V94" i="99"/>
  <c r="X68" i="99"/>
  <c r="AF60" i="99"/>
  <c r="D378" i="99"/>
  <c r="CF219" i="99"/>
  <c r="E381" i="99"/>
  <c r="V116" i="99"/>
  <c r="AD396" i="99"/>
  <c r="U91" i="99"/>
  <c r="AC60" i="99"/>
  <c r="AD114" i="99"/>
  <c r="AN221" i="99"/>
  <c r="D248" i="99"/>
  <c r="AG165" i="99"/>
  <c r="AH89" i="99"/>
  <c r="D67" i="99"/>
  <c r="AC165" i="99"/>
  <c r="I358" i="99"/>
  <c r="E69" i="99"/>
  <c r="P143" i="99"/>
  <c r="BW223" i="99"/>
  <c r="Y396" i="99"/>
  <c r="I143" i="99"/>
  <c r="D199" i="99"/>
  <c r="F94" i="99"/>
  <c r="BI221" i="99"/>
  <c r="N286" i="99"/>
  <c r="AA190" i="99"/>
  <c r="M13" i="99"/>
  <c r="AA396" i="99"/>
  <c r="AI60" i="99"/>
  <c r="CG219" i="99"/>
  <c r="Y192" i="99"/>
  <c r="G60" i="99"/>
  <c r="E170" i="99"/>
  <c r="AC89" i="99"/>
  <c r="G358" i="99"/>
  <c r="BF223" i="99"/>
  <c r="N244" i="99"/>
  <c r="W375" i="99"/>
  <c r="J358" i="99"/>
  <c r="F195" i="99"/>
  <c r="W94" i="99"/>
  <c r="X221" i="99"/>
  <c r="I375" i="99"/>
  <c r="AD190" i="99"/>
  <c r="D65" i="99"/>
  <c r="J219" i="99"/>
  <c r="N13" i="99"/>
  <c r="CC219" i="99"/>
  <c r="AD269" i="99"/>
  <c r="O35" i="99"/>
  <c r="D381" i="99"/>
  <c r="AG60" i="99"/>
  <c r="V167" i="99"/>
  <c r="L358" i="99"/>
  <c r="V64" i="99"/>
  <c r="P190" i="99"/>
  <c r="M303" i="99"/>
  <c r="D335" i="99"/>
  <c r="U402" i="99"/>
  <c r="Y269" i="99"/>
  <c r="F249" i="99"/>
  <c r="AH143" i="99"/>
  <c r="D399" i="99"/>
  <c r="D402" i="99"/>
  <c r="AB375" i="99"/>
  <c r="BZ221" i="99"/>
  <c r="AE165" i="99"/>
  <c r="X64" i="99"/>
  <c r="AH165" i="99"/>
  <c r="AE143" i="99"/>
  <c r="V196" i="99"/>
  <c r="M339" i="99"/>
  <c r="C91" i="99"/>
  <c r="W199" i="99"/>
  <c r="E65" i="99"/>
  <c r="L375" i="99"/>
  <c r="P5" i="99"/>
  <c r="AA358" i="99"/>
  <c r="BK219" i="99"/>
  <c r="Z269" i="99"/>
  <c r="W378" i="99"/>
  <c r="AE60" i="99"/>
  <c r="AC190" i="99"/>
  <c r="N269" i="99"/>
  <c r="Q190" i="99"/>
  <c r="F37" i="99"/>
  <c r="Z165" i="99"/>
  <c r="O114" i="99"/>
  <c r="U271" i="99"/>
  <c r="AF114" i="99"/>
  <c r="AF13" i="99"/>
  <c r="AG114" i="99"/>
  <c r="V380" i="99"/>
  <c r="G13" i="99"/>
  <c r="L320" i="99"/>
  <c r="L60" i="99"/>
  <c r="X375" i="99"/>
  <c r="Y165" i="99"/>
  <c r="N339" i="99"/>
  <c r="CB219" i="99"/>
  <c r="AP224" i="99"/>
  <c r="AB13" i="99"/>
  <c r="D119" i="99"/>
  <c r="K320" i="99"/>
  <c r="J303" i="99"/>
  <c r="P6" i="99"/>
  <c r="W169" i="99"/>
  <c r="W120" i="99"/>
  <c r="L143" i="99"/>
  <c r="I286" i="99"/>
  <c r="AT219" i="99"/>
  <c r="D360" i="99"/>
  <c r="H143" i="99"/>
  <c r="E196" i="99"/>
  <c r="W380" i="99"/>
  <c r="X67" i="99"/>
  <c r="AB60" i="99"/>
  <c r="V224" i="99"/>
  <c r="O165" i="99"/>
  <c r="E68" i="99"/>
  <c r="K165" i="99"/>
  <c r="BL221" i="99"/>
  <c r="AX219" i="99"/>
  <c r="BW224" i="99"/>
  <c r="W66" i="99"/>
  <c r="I396" i="99"/>
  <c r="K60" i="99"/>
  <c r="D305" i="99"/>
  <c r="V378" i="99"/>
  <c r="D123" i="99"/>
  <c r="G246" i="99"/>
  <c r="O219" i="99"/>
  <c r="Q114" i="99"/>
  <c r="N219" i="99"/>
  <c r="AD35" i="99"/>
  <c r="AZ219" i="99"/>
  <c r="P89" i="99"/>
  <c r="AI219" i="99"/>
  <c r="W65" i="99"/>
  <c r="AA13" i="99"/>
  <c r="AA375" i="99"/>
  <c r="AF269" i="99"/>
  <c r="AG89" i="99"/>
  <c r="CA219" i="99"/>
  <c r="C341" i="99"/>
  <c r="D145" i="99"/>
  <c r="V170" i="99"/>
  <c r="BX224" i="99"/>
  <c r="N165" i="99"/>
  <c r="D62" i="99"/>
  <c r="V40" i="99"/>
  <c r="K114" i="99"/>
  <c r="H89" i="99"/>
  <c r="F354" i="99"/>
  <c r="BM219" i="99"/>
  <c r="F118" i="99"/>
  <c r="W196" i="99"/>
  <c r="D379" i="99"/>
  <c r="H320" i="99"/>
  <c r="AB89" i="99"/>
  <c r="AB396" i="99"/>
  <c r="O190" i="99"/>
  <c r="K396" i="99"/>
  <c r="AI114" i="99"/>
  <c r="E198" i="99"/>
  <c r="D118" i="99"/>
  <c r="H221" i="99"/>
  <c r="BW221" i="99"/>
  <c r="I244" i="99"/>
  <c r="E224" i="99"/>
  <c r="D94" i="99"/>
  <c r="P165" i="99"/>
  <c r="E47" i="59"/>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<sst xmlns="http://schemas.openxmlformats.org/spreadsheetml/2006/main" count="24874" uniqueCount="2081">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</sst>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8" t="s">
        <v>734</v>
      </c>
      <c r="B1" s="1518"/>
      <c r="C1" s="1518"/>
      <c r="D1" s="1518"/>
      <c r="E1" s="1518"/>
    </row>
    <row r="2" spans="1:5" x14ac:dyDescent="0.25">
      <c r="A2" s="1518" t="s">
        <v>735</v>
      </c>
      <c r="B2" s="1518"/>
      <c r="C2" s="1518"/>
      <c r="D2" s="1518"/>
      <c r="E2" s="1518"/>
    </row>
    <row r="3" spans="1:5" x14ac:dyDescent="0.25">
      <c r="A3" s="71"/>
    </row>
    <row r="4" spans="1:5" ht="78" customHeight="1" x14ac:dyDescent="0.25">
      <c r="A4" s="1496" t="s">
        <v>736</v>
      </c>
      <c r="B4" s="1496"/>
      <c r="C4" s="1496"/>
      <c r="D4" s="1496"/>
      <c r="E4" s="1496"/>
    </row>
    <row r="5" spans="1:5" x14ac:dyDescent="0.25">
      <c r="A5" s="71"/>
    </row>
    <row r="6" spans="1:5" ht="31.5" customHeight="1" x14ac:dyDescent="0.25">
      <c r="A6" s="1535" t="s">
        <v>737</v>
      </c>
      <c r="B6" s="1535"/>
      <c r="C6" s="1535"/>
      <c r="D6" s="1535"/>
      <c r="E6" s="1535"/>
    </row>
    <row r="7" spans="1:5" ht="15.75" thickBot="1" x14ac:dyDescent="0.3">
      <c r="A7" s="72"/>
    </row>
    <row r="8" spans="1:5" ht="15" customHeight="1" x14ac:dyDescent="0.25">
      <c r="A8" s="1529" t="s">
        <v>738</v>
      </c>
      <c r="B8" s="1530"/>
      <c r="C8" s="1530"/>
      <c r="D8" s="1530"/>
      <c r="E8" s="1531"/>
    </row>
    <row r="9" spans="1:5" ht="15" customHeight="1" thickBot="1" x14ac:dyDescent="0.3">
      <c r="A9" s="1532" t="s">
        <v>739</v>
      </c>
      <c r="B9" s="1533"/>
      <c r="C9" s="1533"/>
      <c r="D9" s="1533"/>
      <c r="E9" s="1534"/>
    </row>
    <row r="10" spans="1:5" x14ac:dyDescent="0.25">
      <c r="A10" s="73"/>
      <c r="B10" s="1526"/>
      <c r="C10" s="1526"/>
      <c r="D10" s="77"/>
    </row>
    <row r="11" spans="1:5" ht="31.5" customHeight="1" thickBot="1" x14ac:dyDescent="0.3">
      <c r="A11" s="75" t="s">
        <v>740</v>
      </c>
      <c r="B11" s="1527" t="s">
        <v>741</v>
      </c>
      <c r="C11" s="1527"/>
      <c r="D11" s="77">
        <f>Welcome!$D$4</f>
        <v>0</v>
      </c>
    </row>
    <row r="12" spans="1:5" ht="15.75" thickBot="1" x14ac:dyDescent="0.3">
      <c r="A12" s="75" t="s">
        <v>742</v>
      </c>
      <c r="B12" s="1528">
        <f>'MDA Worksheet'!$R$18</f>
        <v>0</v>
      </c>
      <c r="C12" s="1528"/>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25"/>
      <c r="C17" s="1525"/>
      <c r="D17" s="1525"/>
      <c r="E17" s="1525"/>
    </row>
    <row r="18" spans="1:5" x14ac:dyDescent="0.25">
      <c r="A18" s="73"/>
      <c r="B18" s="116"/>
      <c r="C18" s="73"/>
      <c r="D18" s="116"/>
    </row>
    <row r="19" spans="1:5" ht="15.75" thickBot="1" x14ac:dyDescent="0.3">
      <c r="A19" s="75" t="s">
        <v>814</v>
      </c>
      <c r="B19" s="1525">
        <f>Welcome!$D$10</f>
        <v>0</v>
      </c>
      <c r="C19" s="1525"/>
      <c r="D19" s="1525"/>
      <c r="E19" s="152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97" t="s">
        <v>1155</v>
      </c>
      <c r="B42" s="1498"/>
      <c r="C42" s="1498"/>
      <c r="D42" s="1498"/>
      <c r="E42" s="1499"/>
    </row>
    <row r="43" spans="1:5" s="697" customFormat="1" x14ac:dyDescent="0.25">
      <c r="A43" s="1506"/>
      <c r="B43" s="1507"/>
      <c r="C43" s="1507"/>
      <c r="D43" s="1507"/>
      <c r="E43" s="1508"/>
    </row>
    <row r="44" spans="1:5" s="697" customFormat="1" ht="15.75" thickBot="1" x14ac:dyDescent="0.3">
      <c r="A44" s="1509"/>
      <c r="B44" s="1510"/>
      <c r="C44" s="1510"/>
      <c r="D44" s="1510"/>
      <c r="E44" s="1511"/>
    </row>
    <row r="45" spans="1:5" s="697" customFormat="1" ht="15.75" thickBot="1" x14ac:dyDescent="0.3">
      <c r="A45" s="703"/>
    </row>
    <row r="46" spans="1:5" s="697" customFormat="1" ht="15.75" thickBot="1" x14ac:dyDescent="0.3">
      <c r="A46" s="1497" t="s">
        <v>1144</v>
      </c>
      <c r="B46" s="1498"/>
      <c r="C46" s="1498"/>
      <c r="D46" s="1498"/>
      <c r="E46" s="1499"/>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00"/>
      <c r="B53" s="1501"/>
      <c r="C53" s="1501"/>
      <c r="D53" s="1501"/>
      <c r="E53" s="1502"/>
    </row>
    <row r="54" spans="1:5" s="697" customFormat="1" ht="15.75" thickBot="1" x14ac:dyDescent="0.3">
      <c r="A54" s="1503"/>
      <c r="B54" s="1504"/>
      <c r="C54" s="1504"/>
      <c r="D54" s="1504"/>
      <c r="E54" s="1505"/>
    </row>
    <row r="55" spans="1:5" ht="15.75" thickBot="1" x14ac:dyDescent="0.3">
      <c r="A55" s="703"/>
      <c r="B55" s="697"/>
      <c r="C55" s="697"/>
      <c r="D55" s="697"/>
      <c r="E55" s="697"/>
    </row>
    <row r="56" spans="1:5" ht="30.75" customHeight="1" thickBot="1" x14ac:dyDescent="0.3">
      <c r="A56" s="1519" t="s">
        <v>750</v>
      </c>
      <c r="B56" s="1520"/>
      <c r="C56" s="1520"/>
      <c r="D56" s="1520"/>
      <c r="E56" s="1521"/>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2" t="s">
        <v>762</v>
      </c>
      <c r="B67" s="1523"/>
      <c r="C67" s="1523"/>
      <c r="D67" s="1523"/>
      <c r="E67" s="1524"/>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12" t="s">
        <v>1156</v>
      </c>
      <c r="B74" s="1513"/>
      <c r="C74" s="1513"/>
      <c r="D74" s="1513"/>
      <c r="E74" s="1514"/>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15" t="s">
        <v>765</v>
      </c>
      <c r="B78" s="1516"/>
      <c r="C78" s="1516"/>
      <c r="D78" s="1516"/>
      <c r="E78" s="1517"/>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15" t="s">
        <v>767</v>
      </c>
      <c r="B83" s="1516"/>
      <c r="C83" s="1516"/>
      <c r="D83" s="1516"/>
      <c r="E83" s="1517"/>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36" t="s">
        <v>1139</v>
      </c>
      <c r="D3" s="1537"/>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53" t="s">
        <v>2062</v>
      </c>
      <c r="H8" s="1553"/>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53"/>
      <c r="H12" s="1553"/>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47" t="s">
        <v>1171</v>
      </c>
      <c r="C33" s="1548"/>
      <c r="D33" s="1548"/>
      <c r="E33" s="1548"/>
      <c r="F33" s="1548"/>
      <c r="G33" s="1548"/>
      <c r="H33" s="1548"/>
      <c r="I33" s="1549"/>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38"/>
      <c r="C34" s="1539"/>
      <c r="D34" s="1539"/>
      <c r="E34" s="1539"/>
      <c r="F34" s="1539"/>
      <c r="G34" s="1539"/>
      <c r="H34" s="1539"/>
      <c r="I34" s="1540"/>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41"/>
      <c r="C35" s="1542"/>
      <c r="D35" s="1542"/>
      <c r="E35" s="1542"/>
      <c r="F35" s="1542"/>
      <c r="G35" s="1542"/>
      <c r="H35" s="1542"/>
      <c r="I35" s="1543"/>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41"/>
      <c r="C36" s="1542"/>
      <c r="D36" s="1542"/>
      <c r="E36" s="1542"/>
      <c r="F36" s="1542"/>
      <c r="G36" s="1542"/>
      <c r="H36" s="1542"/>
      <c r="I36" s="1543"/>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41"/>
      <c r="C37" s="1542"/>
      <c r="D37" s="1542"/>
      <c r="E37" s="1542"/>
      <c r="F37" s="1542"/>
      <c r="G37" s="1542"/>
      <c r="H37" s="1542"/>
      <c r="I37" s="1543"/>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41"/>
      <c r="C38" s="1542"/>
      <c r="D38" s="1542"/>
      <c r="E38" s="1542"/>
      <c r="F38" s="1542"/>
      <c r="G38" s="1542"/>
      <c r="H38" s="1542"/>
      <c r="I38" s="1543"/>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44"/>
      <c r="C39" s="1545"/>
      <c r="D39" s="1545"/>
      <c r="E39" s="1545"/>
      <c r="F39" s="1545"/>
      <c r="G39" s="1545"/>
      <c r="H39" s="1545"/>
      <c r="I39" s="1546"/>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50" t="s">
        <v>1104</v>
      </c>
      <c r="C41" s="1551"/>
      <c r="D41" s="1551"/>
      <c r="E41" s="1551"/>
      <c r="F41" s="1551"/>
      <c r="G41" s="1551"/>
      <c r="H41" s="1551"/>
      <c r="I41" s="1552"/>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38"/>
      <c r="C42" s="1539"/>
      <c r="D42" s="1539"/>
      <c r="E42" s="1539"/>
      <c r="F42" s="1539"/>
      <c r="G42" s="1539"/>
      <c r="H42" s="1539"/>
      <c r="I42" s="1540"/>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41"/>
      <c r="C43" s="1542"/>
      <c r="D43" s="1542"/>
      <c r="E43" s="1542"/>
      <c r="F43" s="1542"/>
      <c r="G43" s="1542"/>
      <c r="H43" s="1542"/>
      <c r="I43" s="1543"/>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41"/>
      <c r="C44" s="1542"/>
      <c r="D44" s="1542"/>
      <c r="E44" s="1542"/>
      <c r="F44" s="1542"/>
      <c r="G44" s="1542"/>
      <c r="H44" s="1542"/>
      <c r="I44" s="1543"/>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41"/>
      <c r="C45" s="1542"/>
      <c r="D45" s="1542"/>
      <c r="E45" s="1542"/>
      <c r="F45" s="1542"/>
      <c r="G45" s="1542"/>
      <c r="H45" s="1542"/>
      <c r="I45" s="1543"/>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41"/>
      <c r="C46" s="1542"/>
      <c r="D46" s="1542"/>
      <c r="E46" s="1542"/>
      <c r="F46" s="1542"/>
      <c r="G46" s="1542"/>
      <c r="H46" s="1542"/>
      <c r="I46" s="1543"/>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44"/>
      <c r="C47" s="1545"/>
      <c r="D47" s="1545"/>
      <c r="E47" s="1545"/>
      <c r="F47" s="1545"/>
      <c r="G47" s="1545"/>
      <c r="H47" s="1545"/>
      <c r="I47" s="1546"/>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57" t="s">
        <v>876</v>
      </c>
      <c r="G2" s="1557"/>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71"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58">
        <f>SUMIFS($I$6:$I$15,$W6:$W15,"&lt;&gt;End")</f>
        <v>0</v>
      </c>
      <c r="J17" s="1560" t="s">
        <v>1303</v>
      </c>
      <c r="K17" s="1562">
        <f>SUMIFS($K$6:$K$15,$W6:$W15,"&lt;&gt;End")</f>
        <v>0</v>
      </c>
      <c r="L17" s="1560" t="s">
        <v>1304</v>
      </c>
      <c r="M17" s="648"/>
      <c r="N17" s="648"/>
      <c r="O17" s="648"/>
      <c r="P17" s="1558">
        <f>SUMIFS($P$6:$P$15,$F$6:$F$15,"&gt;0",$W6:$W15,"&lt;&gt;End")</f>
        <v>0</v>
      </c>
      <c r="Q17" s="1554" t="s">
        <v>1305</v>
      </c>
      <c r="R17" s="155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59"/>
      <c r="J18" s="1561"/>
      <c r="K18" s="1563"/>
      <c r="L18" s="1561"/>
      <c r="M18" s="648"/>
      <c r="N18" s="648"/>
      <c r="O18" s="648"/>
      <c r="P18" s="1559"/>
      <c r="Q18" s="1555"/>
      <c r="R18" s="1556"/>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75" t="str">
        <f>IFERROR(VLOOKUP($H$4,'Market Geography'!$D:$G,4,FALSE),"Select Market")</f>
        <v>Select Market</v>
      </c>
      <c r="I3" s="1576"/>
      <c r="J3" s="1576"/>
      <c r="K3" s="157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72">
        <f>Welcome!$D$4</f>
        <v>0</v>
      </c>
      <c r="I4" s="1573"/>
      <c r="J4" s="1573"/>
      <c r="K4" s="157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72" t="str">
        <f>'Multi-Customer'!$S$49</f>
        <v>Enter Customer(s)</v>
      </c>
      <c r="I5" s="1573"/>
      <c r="J5" s="1573"/>
      <c r="K5" s="157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72" t="str">
        <f>'Multi-Customer'!$AH$40</f>
        <v>MULTIPLE TYPES</v>
      </c>
      <c r="I6" s="1573"/>
      <c r="J6" s="1573"/>
      <c r="K6" s="157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8" t="s">
        <v>206</v>
      </c>
      <c r="I7" s="1579"/>
      <c r="J7" s="1579"/>
      <c r="K7" s="1580"/>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5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5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9" t="s">
        <v>119</v>
      </c>
      <c r="H33" s="1570"/>
      <c r="I33" s="404">
        <f>IF($E$3="MDA",'PIM Ranges'!$AX$7,'PIM Ranges'!$BJ$7)</f>
        <v>8.8999999999999996E-2</v>
      </c>
      <c r="J33" s="134"/>
      <c r="K33" s="1571" t="str">
        <f>IF(COUNTIF($AB$10:$AB$30,"ERROR")&lt;1,"",IF(COUNTIF($AB$10:$AB$30,"ERROR")&lt;2,(COUNTIF($AB$10:$AB$30,"ERROR")&amp;" Margin Missing Above"),(COUNTIF($AB$10:$AB$30,"ERROR")&amp;" Margins Missing Above")))</f>
        <v/>
      </c>
      <c r="L33" s="157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4" t="s">
        <v>490</v>
      </c>
      <c r="H34" s="1565"/>
      <c r="I34" s="400">
        <f>J31</f>
        <v>0</v>
      </c>
      <c r="J34" s="134"/>
      <c r="K34" s="1571" t="str">
        <f>IF(COUNTIFS($L$10:$L$30,"X",$AF$10:$AF$30,"BELOW")&lt;1,"",IF(COUNTIFS($L$10:$L$30,"X",$AF$10:$AF$30,"BELOW")&lt;2,(COUNTIFS($L$10:$L$30,"X",$AF$10:$AF$30,"BELOW")&amp;" Margin Below Minimum"),(COUNTIFS($L$10:$L$30,"X",$AF$10:$AF$30,"BELOW")&amp;" Margins Below Minimum")))</f>
        <v/>
      </c>
      <c r="L34" s="157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4" t="s">
        <v>1259</v>
      </c>
      <c r="H35" s="1565"/>
      <c r="I35" s="401" t="str">
        <f>IFERROR(I34/G31,"")</f>
        <v/>
      </c>
      <c r="K35" s="1571" t="str">
        <f>IF(COUNTIFS($L$10:$L$30,"X",$AF$10:$AF$30,"ABOVE")&lt;1,"",IF(COUNTIFS($L$10:$L$30,"X",$AF$10:$AF$30,"ABOVE")&lt;2,(COUNTIFS($L$10:$L$30,"X",$AF$10:$AF$30,"ABOVE")&amp;" Margin Above Maximum"),(COUNTIFS($L$10:$L$30,"X",$AF$10:$AF$30,"ABOVE")&amp;" Margins Above Maximum")))</f>
        <v/>
      </c>
      <c r="L35" s="157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4"/>
      <c r="H36" s="1565"/>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4" t="str">
        <f>IFERROR(IF(I35&gt;I33,"","Below Recommended TAGP: "),"")</f>
        <v/>
      </c>
      <c r="H37" s="1565"/>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4"/>
      <c r="H38" s="1565"/>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4" t="s">
        <v>1260</v>
      </c>
      <c r="H39" s="1565"/>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6" t="s">
        <v>491</v>
      </c>
      <c r="H40" s="1567"/>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8"/>
      <c r="G52" s="15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8"/>
      <c r="G53" s="15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8"/>
      <c r="G54" s="15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611">
        <f>Welcome!$D$10</f>
        <v>0</v>
      </c>
      <c r="I3" s="1612"/>
      <c r="J3" s="871"/>
      <c r="K3" s="962" t="s">
        <v>110</v>
      </c>
      <c r="L3" s="1613" t="str">
        <f>IFERROR(VLOOKUP($L$4,'Market Geography'!$D:$G,4,FALSE),"Select Market")</f>
        <v>Select Market</v>
      </c>
      <c r="M3" s="1614"/>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66" t="s">
        <v>649</v>
      </c>
      <c r="G4" s="963" t="s">
        <v>1167</v>
      </c>
      <c r="H4" s="1615" t="str">
        <f>Welcome!$D$16</f>
        <v>Select Term</v>
      </c>
      <c r="I4" s="1616"/>
      <c r="J4" s="181"/>
      <c r="K4" s="963" t="s">
        <v>846</v>
      </c>
      <c r="L4" s="1599">
        <f>Welcome!$D$4</f>
        <v>0</v>
      </c>
      <c r="M4" s="1600"/>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17">
        <f>'PIM Model'!$G$31</f>
        <v>0</v>
      </c>
      <c r="I5" s="1618"/>
      <c r="J5" s="871"/>
      <c r="K5" s="963" t="s">
        <v>107</v>
      </c>
      <c r="L5" s="1599" t="str">
        <f>'Multi-Customer'!$S$49</f>
        <v>Enter Customer(s)</v>
      </c>
      <c r="M5" s="1600"/>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7">
        <f>'Variable Costs (Back)'!$K$26</f>
        <v>0</v>
      </c>
      <c r="I6" s="1598"/>
      <c r="J6" s="871"/>
      <c r="K6" s="963" t="s">
        <v>1180</v>
      </c>
      <c r="L6" s="1599" t="str">
        <f>'Multi-Customer'!$AH$40</f>
        <v>MULTIPLE TYPES</v>
      </c>
      <c r="M6" s="1600"/>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601">
        <f>IFERROR('PIM Ranges'!$AU$3,0)</f>
        <v>0</v>
      </c>
      <c r="I7" s="1602"/>
      <c r="J7" s="871"/>
      <c r="K7" s="964" t="s">
        <v>1175</v>
      </c>
      <c r="L7" s="1603" t="s">
        <v>206</v>
      </c>
      <c r="M7" s="1604"/>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607" t="s">
        <v>1840</v>
      </c>
      <c r="E8" s="1609"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608"/>
      <c r="E9" s="1610"/>
      <c r="F9" s="136"/>
      <c r="G9" s="965" t="s">
        <v>855</v>
      </c>
      <c r="H9" s="1605">
        <f>IFERROR('PIM Model'!$G$31,0)</f>
        <v>0</v>
      </c>
      <c r="I9" s="1606"/>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0" t="str">
        <f>IF('Incentive Helper'!E2="Yes",'Incentive Helper'!F2,"")</f>
        <v/>
      </c>
      <c r="F10" s="136"/>
      <c r="G10" s="966" t="s">
        <v>856</v>
      </c>
      <c r="H10" s="1623">
        <f>IFERROR('PIM Model'!$G$32,0)</f>
        <v>0</v>
      </c>
      <c r="I10" s="1624"/>
      <c r="L10" s="177"/>
      <c r="M10" s="177"/>
      <c r="N10" s="177"/>
      <c r="O10" s="177"/>
      <c r="P10" s="177"/>
      <c r="Q10" s="182"/>
      <c r="R10" s="1029">
        <v>0</v>
      </c>
      <c r="S10" s="1583" t="s">
        <v>1539</v>
      </c>
      <c r="T10" s="1583"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83"/>
      <c r="T11" s="1583"/>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94" t="s">
        <v>857</v>
      </c>
      <c r="E12" s="1594"/>
      <c r="F12" s="185"/>
      <c r="G12" s="1595"/>
      <c r="H12" s="1596"/>
      <c r="I12" s="186"/>
      <c r="J12" s="1625"/>
      <c r="K12" s="1625"/>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t="str" cm="1">
        <f t="array" aca="1" ref="C16" ca="1">IF(INDIRECT("'Incentives'!C"&amp;'Configurable Tab'!C3+1) = "Yes",IF(INDIRECT("'Incentives'!E"&amp;'Configurable Tab'!C3+5)&lt;Welcome!$D$12,"Yes",IF(AND(INDIRECT("'Incentives'!E"&amp;'Configurable Tab'!C3+5)&gt;=Welcome!$D$12,INDIRECT("'Incentives'!E"&amp;'Configurable Tab'!C3+5)='Required Info to Submit'!$F$17),"No","")),"")</f>
        <v/>
      </c>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2"/>
      <c r="H19" s="1047"/>
      <c r="I19" s="1043" t="str">
        <f>IF(E$13="Yes",IF(G20="",999999999.99,G20-0.01),"")</f>
        <v/>
      </c>
      <c r="J19" s="1038"/>
      <c r="K19" s="1458"/>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2"/>
      <c r="H20" s="1047"/>
      <c r="I20" s="1043" t="str">
        <f>IF(E$13="Yes",IF(I19="","",IF(I19&lt;&gt;999999999.99,IF(G21="",999999999.99,G21-0.01),"")),"")</f>
        <v/>
      </c>
      <c r="J20" s="1048"/>
      <c r="K20" s="1458"/>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2"/>
      <c r="H21" s="1047"/>
      <c r="I21" s="1043" t="str">
        <f>IF(E$13="Yes",IF(I20="","",IF(I20&lt;&gt;999999999.99,IF(G22="",999999999.99,G22-0.01),"")),"")</f>
        <v/>
      </c>
      <c r="J21" s="1038"/>
      <c r="K21" s="1458"/>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customHeight="1" thickBot="1" x14ac:dyDescent="0.3">
      <c r="A22" s="879"/>
      <c r="B22" s="244"/>
      <c r="C22" s="145"/>
      <c r="D22" s="978" t="s">
        <v>1408</v>
      </c>
      <c r="E22" s="979">
        <f>IFERROR(IF(G22="",0,(G22-$G$17)/$G$17),"")</f>
        <v>0</v>
      </c>
      <c r="F22" s="882" t="s">
        <v>1409</v>
      </c>
      <c r="G22" s="1462"/>
      <c r="H22" s="1047"/>
      <c r="I22" s="1043" t="str">
        <f>IF(E$13="Yes",IF(I21="","",IF(I21&lt;&gt;999999999.99,IF(G23="",999999999.99,G23-0.01),"")),"")</f>
        <v/>
      </c>
      <c r="J22" s="1038"/>
      <c r="K22" s="1458"/>
      <c r="L22" s="145"/>
      <c r="M22" s="722"/>
      <c r="N22" s="722"/>
      <c r="O22" s="722"/>
      <c r="P22" s="190"/>
      <c r="Q22" s="179"/>
      <c r="R22" s="177"/>
      <c r="S22" s="617"/>
      <c r="T22" s="177"/>
      <c r="U22" s="177"/>
      <c r="V22" s="177"/>
      <c r="W22" s="177"/>
      <c r="X22" s="177"/>
      <c r="Y22" s="177"/>
      <c r="Z22" s="177"/>
      <c r="AA22" s="177"/>
      <c r="AB22" s="177"/>
      <c r="AC22" s="177"/>
    </row>
    <row r="23" spans="1:29" s="872" customFormat="1" ht="18" customHeight="1" thickBot="1" x14ac:dyDescent="0.3">
      <c r="A23" s="879"/>
      <c r="B23" s="244"/>
      <c r="C23" s="145"/>
      <c r="D23" s="978" t="s">
        <v>1410</v>
      </c>
      <c r="E23" s="979">
        <f>IFERROR(IF(G23="",0,(G23-$G$17)/$G$17),"")</f>
        <v>0</v>
      </c>
      <c r="F23" s="882" t="s">
        <v>1411</v>
      </c>
      <c r="G23" s="1462"/>
      <c r="H23" s="1047"/>
      <c r="I23" s="1043" t="str">
        <f>IF(E$13="Yes",IF(I22="","",IF(I22&lt;&gt;999999999.99,IF(G24="",999999999.99,G24-0.01),"")),"")</f>
        <v/>
      </c>
      <c r="J23" s="1038"/>
      <c r="K23" s="1458"/>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94" t="s">
        <v>857</v>
      </c>
      <c r="E26" s="1594"/>
      <c r="F26" s="185"/>
      <c r="G26" s="1595"/>
      <c r="H26" s="1596"/>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940" t="str" cm="1">
        <f t="array" aca="1" ref="C30" ca="1">IF(INDIRECT("'Incentives'!C"&amp;'Configurable Tab'!C4+1) = "Yes",IF(INDIRECT("'Incentives'!E"&amp;'Configurable Tab'!C4+5)&lt;Welcome!$D$12,"Yes",IF(AND(INDIRECT("'Incentives'!E"&amp;'Configurable Tab'!C4+5)&gt;=Welcome!$D$12,INDIRECT("'Incentives'!E"&amp;'Configurable Tab'!C4+5)='Required Info to Submit'!$F$17),"No","")),"")</f>
        <v/>
      </c>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2"/>
      <c r="H33" s="574"/>
      <c r="I33" s="968" t="str">
        <f>IF(E$27="Yes",IF(G34="",999999999.99,G34-0.01),"")</f>
        <v/>
      </c>
      <c r="J33" s="145"/>
      <c r="K33" s="1458"/>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2"/>
      <c r="H34" s="574"/>
      <c r="I34" s="968" t="str">
        <f>IF(E$27="Yes",IF(I33="","",IF(I33&lt;&gt;999999999.99,IF(G35="",999999999.99,G35-0.01),"")),"")</f>
        <v/>
      </c>
      <c r="J34" s="883" t="str">
        <f>IF($E$15="YES","**Tier 1 used for modeling purposes**","")</f>
        <v/>
      </c>
      <c r="K34" s="145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2"/>
      <c r="H35" s="574"/>
      <c r="I35" s="968" t="str">
        <f>IF(E$27="Yes",IF(I34="","",IF(I34&lt;&gt;999999999.99,IF(G36="",999999999.99,G36-0.01),"")),"")</f>
        <v/>
      </c>
      <c r="J35" s="145"/>
      <c r="K35" s="145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2"/>
      <c r="H36" s="574"/>
      <c r="I36" s="968" t="str">
        <f>IF(E$27="Yes",IF(I35="","",IF(I35&lt;&gt;999999999.99,IF(G37="",999999999.99,G37-0.01),"")),"")</f>
        <v/>
      </c>
      <c r="J36" s="145"/>
      <c r="K36" s="145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2"/>
      <c r="H37" s="574"/>
      <c r="I37" s="968" t="str">
        <f>IF(E$27="Yes",IF(I36="","",IF(I36&lt;&gt;999999999.99,IF(G38="",999999999.99,G38-0.01),"")),"")</f>
        <v/>
      </c>
      <c r="J37" s="145"/>
      <c r="K37" s="145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94" t="s">
        <v>857</v>
      </c>
      <c r="E40" s="1594"/>
      <c r="F40" s="185"/>
      <c r="G40" s="1595"/>
      <c r="H40" s="1596"/>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t="str" cm="1">
        <f t="array" aca="1" ref="C44" ca="1">IF(INDIRECT("'Incentives'!C"&amp;'Configurable Tab'!C5+1) = "Yes",IF(INDIRECT("'Incentives'!E"&amp;'Configurable Tab'!C5+5)&lt;Welcome!$D$12,"Yes",IF(AND(INDIRECT("'Incentives'!E"&amp;'Configurable Tab'!C5+5)&gt;=Welcome!$D$12,INDIRECT("'Incentives'!E"&amp;'Configurable Tab'!C5+5)='Required Info to Submit'!$F$17),"No","")),"")</f>
        <v/>
      </c>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2"/>
      <c r="H47" s="574"/>
      <c r="I47" s="968" t="str">
        <f>IF(E$41="Yes",IF(G48="",999999999.99,G48-0.01),"")</f>
        <v/>
      </c>
      <c r="J47" s="145"/>
      <c r="K47" s="1458"/>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2"/>
      <c r="H48" s="574"/>
      <c r="I48" s="968" t="str">
        <f>IF(E$41="Yes",IF(I47="","",IF(I47&lt;&gt;999999999.99,IF(G49="",999999999.99,G49-0.01),"")),"")</f>
        <v/>
      </c>
      <c r="J48" s="883" t="str">
        <f>IF($E$15="YES","**Tier 1 used for modeling purposes**","")</f>
        <v/>
      </c>
      <c r="K48" s="145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2"/>
      <c r="H49" s="574"/>
      <c r="I49" s="968" t="str">
        <f>IF(E$41="Yes",IF(I48="","",IF(I48&lt;&gt;999999999.99,IF(G50="",999999999.99,G50-0.01),"")),"")</f>
        <v/>
      </c>
      <c r="J49" s="145"/>
      <c r="K49" s="145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2"/>
      <c r="H50" s="574"/>
      <c r="I50" s="968" t="str">
        <f>IF(E$41="Yes",IF(I49="","",IF(I49&lt;&gt;999999999.99,IF(G51="",999999999.99,G51-0.01),"")),"")</f>
        <v/>
      </c>
      <c r="J50" s="145"/>
      <c r="K50" s="145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2"/>
      <c r="H51" s="574"/>
      <c r="I51" s="968" t="str">
        <f>IF(E$41="Yes",IF(I50="","",IF(I50&lt;&gt;999999999.99,IF(G52="",999999999.99,G52-0.01),"")),"")</f>
        <v/>
      </c>
      <c r="J51" s="145"/>
      <c r="K51" s="145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90" t="s">
        <v>522</v>
      </c>
      <c r="E54" s="1590"/>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t="str" cm="1">
        <f t="array" aca="1" ref="C58" ca="1">IF(INDIRECT("'Incentives'!C"&amp;'Configurable Tab'!C6+1) = "Yes",IF(INDIRECT("'Incentives'!E"&amp;'Configurable Tab'!C6+5)&lt;Welcome!$D$12,"Yes",IF(AND(INDIRECT("'Incentives'!E"&amp;'Configurable Tab'!C6+5)&gt;=Welcome!$D$12,INDIRECT("'Incentives'!E"&amp;'Configurable Tab'!C6+5)='Required Info to Submit'!$F$17),"No","")),"")</f>
        <v/>
      </c>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2"/>
      <c r="H61" s="574"/>
      <c r="I61" s="968" t="str">
        <f>IF(E$55="Yes",IF(G62="",999999999.99,G62-0.01),"")</f>
        <v/>
      </c>
      <c r="J61" s="883"/>
      <c r="K61" s="1458"/>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2"/>
      <c r="H62" s="574"/>
      <c r="I62" s="968" t="str">
        <f>IF(E$55="Yes",IF(I61="","",IF(I61&lt;&gt;999999999.99,IF(G63="",999999999.99,G63-0.01),"")),"")</f>
        <v/>
      </c>
      <c r="J62" s="145"/>
      <c r="K62" s="1458"/>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2"/>
      <c r="H63" s="574"/>
      <c r="I63" s="968" t="str">
        <f>IF(E$55="Yes",IF(I62="","",IF(I62&lt;&gt;999999999.99,IF(G64="",999999999.99,G64-0.01),"")),"")</f>
        <v/>
      </c>
      <c r="J63" s="145"/>
      <c r="K63" s="1458"/>
      <c r="L63" s="145"/>
      <c r="M63" s="897"/>
      <c r="N63" s="722"/>
      <c r="O63" s="722"/>
      <c r="P63" s="190"/>
      <c r="Q63" s="179"/>
      <c r="R63" s="177"/>
      <c r="S63" s="617"/>
      <c r="T63" s="177"/>
      <c r="U63" s="177"/>
      <c r="V63" s="177"/>
      <c r="W63" s="177"/>
      <c r="X63" s="177"/>
      <c r="Y63" s="177"/>
      <c r="Z63" s="177"/>
      <c r="AA63" s="177"/>
      <c r="AB63" s="177"/>
      <c r="AC63" s="177"/>
    </row>
    <row r="64" spans="1:29" s="872" customFormat="1" ht="18" customHeight="1" thickBot="1" x14ac:dyDescent="0.3">
      <c r="A64" s="879"/>
      <c r="B64" s="244"/>
      <c r="C64" s="145"/>
      <c r="D64" s="978" t="s">
        <v>1408</v>
      </c>
      <c r="E64" s="979">
        <f>IFERROR(IF(G64="",0,(G64-$G$59)/$G$59),"")</f>
        <v>0</v>
      </c>
      <c r="F64" s="882" t="s">
        <v>1409</v>
      </c>
      <c r="G64" s="1462"/>
      <c r="H64" s="574"/>
      <c r="I64" s="968" t="str">
        <f>IF(E$55="Yes",IF(I63="","",IF(I63&lt;&gt;999999999.99,IF(G65="",999999999.99,G65-0.01),"")),"")</f>
        <v/>
      </c>
      <c r="J64" s="145"/>
      <c r="K64" s="1458"/>
      <c r="L64" s="145"/>
      <c r="M64" s="722"/>
      <c r="N64" s="722"/>
      <c r="O64" s="722"/>
      <c r="P64" s="190"/>
      <c r="Q64" s="179"/>
      <c r="R64" s="177"/>
      <c r="S64" s="617"/>
      <c r="T64" s="177"/>
      <c r="U64" s="177"/>
      <c r="V64" s="177"/>
      <c r="W64" s="177"/>
      <c r="X64" s="177"/>
      <c r="Y64" s="177"/>
      <c r="Z64" s="177"/>
      <c r="AA64" s="177"/>
      <c r="AB64" s="177"/>
      <c r="AC64" s="177"/>
    </row>
    <row r="65" spans="1:29" ht="18" customHeight="1" thickBot="1" x14ac:dyDescent="0.3">
      <c r="A65" s="888"/>
      <c r="B65" s="244"/>
      <c r="C65" s="41"/>
      <c r="D65" s="978" t="s">
        <v>1410</v>
      </c>
      <c r="E65" s="979">
        <f>IFERROR(IF(G65="",0,(G65-$G$59)/$G$59),"")</f>
        <v>0</v>
      </c>
      <c r="F65" s="882" t="s">
        <v>1411</v>
      </c>
      <c r="G65" s="1462"/>
      <c r="H65" s="574"/>
      <c r="I65" s="968" t="str">
        <f>IF(E$55="Yes",IF(I64="","",IF(I64&lt;&gt;999999999.99,IF(G66="",999999999.99,G66-0.01),"")),"")</f>
        <v/>
      </c>
      <c r="J65" s="41"/>
      <c r="K65" s="1458"/>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90" t="s">
        <v>522</v>
      </c>
      <c r="E68" s="1590"/>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t="str" cm="1">
        <f t="array" aca="1" ref="C72" ca="1">IF(INDIRECT("'Incentives'!C"&amp;'Configurable Tab'!C7+1) = "Yes",IF(INDIRECT("'Incentives'!E"&amp;'Configurable Tab'!C7+5)&lt;Welcome!$D$12,"Yes",IF(AND(INDIRECT("'Incentives'!E"&amp;'Configurable Tab'!C7+5)&gt;=Welcome!$D$12,INDIRECT("'Incentives'!E"&amp;'Configurable Tab'!C7+5)='Required Info to Submit'!$F$17),"No","")),"")</f>
        <v/>
      </c>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2"/>
      <c r="H75" s="574"/>
      <c r="I75" s="968" t="str">
        <f>IF(E$69="Yes",IF(G76="",999999999.99,G76-0.01),"")</f>
        <v/>
      </c>
      <c r="J75" s="883" t="str">
        <f>IF($E$57="YES","**Tier 1 used for modeling purposes**","")</f>
        <v/>
      </c>
      <c r="K75" s="1458"/>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2"/>
      <c r="H76" s="574"/>
      <c r="I76" s="968" t="str">
        <f>IF(E$69="Yes",IF(I75="","",IF(I75&lt;&gt;999999999.99,IF(G77="",999999999.99,G77-0.01),"")),"")</f>
        <v/>
      </c>
      <c r="J76" s="145"/>
      <c r="K76" s="145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2"/>
      <c r="H77" s="574"/>
      <c r="I77" s="968" t="str">
        <f>IF(E$69="Yes",IF(I76="","",IF(I76&lt;&gt;999999999.99,IF(G78="",999999999.99,G78-0.01),"")),"")</f>
        <v/>
      </c>
      <c r="J77" s="145"/>
      <c r="K77" s="145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2"/>
      <c r="H78" s="574"/>
      <c r="I78" s="968" t="str">
        <f>IF(E$69="Yes",IF(I77="","",IF(I77&lt;&gt;999999999.99,IF(G79="",999999999.99,G79-0.01),"")),"")</f>
        <v/>
      </c>
      <c r="J78" s="145"/>
      <c r="K78" s="145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2"/>
      <c r="H79" s="574"/>
      <c r="I79" s="968" t="str">
        <f>IF(E$69="Yes",IF(I78="","",IF(I78&lt;&gt;999999999.99,IF(G80="",999999999.99,G80-0.01),"")),"")</f>
        <v/>
      </c>
      <c r="J79" s="41"/>
      <c r="K79" s="145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90" t="s">
        <v>528</v>
      </c>
      <c r="E82" s="1590"/>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1457" t="s">
        <v>1400</v>
      </c>
      <c r="F84" s="41"/>
      <c r="G84" s="1461"/>
      <c r="H84" s="574"/>
      <c r="I84" s="1461"/>
      <c r="J84" s="145"/>
      <c r="K84" s="1461"/>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t="str" cm="1">
        <f t="array" aca="1" ref="C86" ca="1">IF(INDIRECT("'Incentives'!C"&amp;'Configurable Tab'!C8+1) = "Yes",IF(INDIRECT("'Incentives'!E"&amp;'Configurable Tab'!C8+5)&lt;Welcome!$D$12,"Yes",IF(AND(INDIRECT("'Incentives'!E"&amp;'Configurable Tab'!C8+5)&gt;=Welcome!$D$12,INDIRECT("'Incentives'!E"&amp;'Configurable Tab'!C8+5)='Required Info to Submit'!$F$17),"No","")),"")</f>
        <v/>
      </c>
      <c r="D86" s="887" t="s">
        <v>1401</v>
      </c>
      <c r="E86" s="148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48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63"/>
      <c r="H89" s="188"/>
      <c r="I89" s="969">
        <f>IF(E$83="Yes",IF(G90=0,1,G90-0.0001),0)</f>
        <v>0</v>
      </c>
      <c r="J89" s="883"/>
      <c r="K89" s="1458"/>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63"/>
      <c r="H90" s="188"/>
      <c r="I90" s="969">
        <f>IF(E$83="Yes",IF(I89=0,0,IF(I89&lt;&gt;1,IF(G91=0,1,G91-0.0001),0)),0)</f>
        <v>0</v>
      </c>
      <c r="J90" s="230"/>
      <c r="K90" s="145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63"/>
      <c r="H91" s="188"/>
      <c r="I91" s="969">
        <f>IF(E$83="Yes",IF(I90=0,0,IF(I90&lt;&gt;1,IF(G92=0,1,G92-0.0001),0)),0)</f>
        <v>0</v>
      </c>
      <c r="J91" s="230"/>
      <c r="K91" s="1458"/>
      <c r="L91" s="188"/>
      <c r="M91" s="897"/>
      <c r="N91" s="722"/>
      <c r="O91" s="722"/>
      <c r="P91" s="221"/>
      <c r="Q91" s="138"/>
      <c r="R91" s="134"/>
      <c r="S91" s="618"/>
      <c r="T91" s="134"/>
      <c r="U91" s="134"/>
      <c r="V91" s="134"/>
      <c r="W91" s="134"/>
      <c r="X91" s="134"/>
      <c r="Y91" s="134"/>
      <c r="Z91" s="134"/>
      <c r="AA91" s="134"/>
      <c r="AB91" s="134"/>
      <c r="AC91" s="134"/>
    </row>
    <row r="92" spans="1:29" ht="17.25" customHeight="1" x14ac:dyDescent="0.25">
      <c r="A92" s="888"/>
      <c r="B92" s="244"/>
      <c r="C92" s="41"/>
      <c r="D92" s="280"/>
      <c r="E92" s="436"/>
      <c r="F92" s="882" t="s">
        <v>1409</v>
      </c>
      <c r="G92" s="1463"/>
      <c r="H92" s="188"/>
      <c r="I92" s="969">
        <f>IF(E$83="Yes",IF(I91=0,0,IF(I91&lt;&gt;1,IF(G93=0,1,G93-0.0001),0)),0)</f>
        <v>0</v>
      </c>
      <c r="J92" s="230"/>
      <c r="K92" s="1458"/>
      <c r="L92" s="188"/>
      <c r="M92" s="722"/>
      <c r="N92" s="722"/>
      <c r="O92" s="722"/>
      <c r="P92" s="221"/>
      <c r="Q92" s="138"/>
      <c r="R92" s="134"/>
      <c r="S92" s="618"/>
      <c r="T92" s="134"/>
      <c r="U92" s="134"/>
      <c r="V92" s="134"/>
      <c r="W92" s="134"/>
      <c r="X92" s="134"/>
      <c r="Y92" s="134"/>
      <c r="Z92" s="134"/>
      <c r="AA92" s="134"/>
      <c r="AB92" s="134"/>
      <c r="AC92" s="134"/>
    </row>
    <row r="93" spans="1:29" ht="17.25" customHeight="1" x14ac:dyDescent="0.25">
      <c r="A93" s="888"/>
      <c r="B93" s="244"/>
      <c r="C93" s="41"/>
      <c r="D93" s="280"/>
      <c r="E93" s="436"/>
      <c r="F93" s="882" t="s">
        <v>1411</v>
      </c>
      <c r="G93" s="1463"/>
      <c r="H93" s="188"/>
      <c r="I93" s="969">
        <f>IF(E$83="Yes",IF(I92=0,0,IF(I92&lt;&gt;1,IF(G94="",1,G94-0.0001),0)),0)</f>
        <v>0</v>
      </c>
      <c r="J93" s="230"/>
      <c r="K93" s="145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t="e">
        <f>TEXT(DATE(YEAR('Required Info to Submit'!F$17)+1,MONTH('Required Info to Submit'!F$17),DAY('Required Info to Submit'!F$17)+$U$110),"dddd")</f>
        <v>#VALUE!</v>
      </c>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226"/>
      <c r="D96" s="1590" t="s">
        <v>528</v>
      </c>
      <c r="E96" s="1590"/>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t="str" cm="1">
        <f t="array" aca="1" ref="C100" ca="1">IF(INDIRECT("'Incentives'!C"&amp;'Configurable Tab'!C9+1) = "Yes",IF(INDIRECT("'Incentives'!E"&amp;'Configurable Tab'!C9+5)&lt;Welcome!$D$12,"Yes",IF(AND(INDIRECT("'Incentives'!E"&amp;'Configurable Tab'!C9+5)&gt;=Welcome!$D$12,INDIRECT("'Incentives'!E"&amp;'Configurable Tab'!C9+5)='Required Info to Submit'!$F$17),"No","")),"")</f>
        <v/>
      </c>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63"/>
      <c r="H103" s="188"/>
      <c r="I103" s="1042">
        <f>IF(E$97="Yes",IF(G104=0,1,G104-0.0001),0)</f>
        <v>0</v>
      </c>
      <c r="J103" s="883" t="str">
        <f>IF($E$85="YES","**Tier 1 payout used for modeling purposes**","")</f>
        <v/>
      </c>
      <c r="K103" s="1458"/>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63"/>
      <c r="H104" s="188"/>
      <c r="I104" s="1028">
        <f>IF(E$97="Yes",IF(I103=0,0,IF(I103&lt;&gt;1,IF(G105=0,1,G105-0.0001),0)),0)</f>
        <v>0</v>
      </c>
      <c r="J104" s="230"/>
      <c r="K104" s="145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63"/>
      <c r="H105" s="188"/>
      <c r="I105" s="1028">
        <f>IF(E$97="Yes",IF(I104=0,0,IF(I104&lt;&gt;1,IF(G106=0,1,G106-0.0001),0)),0)</f>
        <v>0</v>
      </c>
      <c r="J105" s="230"/>
      <c r="K105" s="145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63"/>
      <c r="H106" s="188"/>
      <c r="I106" s="1028">
        <f>IF(E$97="Yes",IF(I105=0,0,IF(I105&lt;&gt;1,IF(G107=0,1,G107-0.0001),0)),0)</f>
        <v>0</v>
      </c>
      <c r="J106" s="230"/>
      <c r="K106" s="145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63"/>
      <c r="H107" s="188"/>
      <c r="I107" s="1028">
        <f>IF(E$97="Yes",IF(I106=0,0,IF(I106&lt;&gt;1,IF(G108="",1,G108-0.0001),0)),0)</f>
        <v>0</v>
      </c>
      <c r="J107" s="230"/>
      <c r="K107" s="145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90" t="s">
        <v>1113</v>
      </c>
      <c r="E110" s="1590"/>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41" t="s">
        <v>649</v>
      </c>
      <c r="D111" s="980" t="s">
        <v>526</v>
      </c>
      <c r="E111" s="900" t="s">
        <v>651</v>
      </c>
      <c r="F111" s="240"/>
      <c r="G111" s="229" t="s">
        <v>1396</v>
      </c>
      <c r="H111" s="574"/>
      <c r="I111" s="229" t="s">
        <v>1397</v>
      </c>
      <c r="J111" s="41"/>
      <c r="K111" s="229" t="s">
        <v>839</v>
      </c>
      <c r="L111" s="145"/>
      <c r="M111" s="194" t="s">
        <v>1398</v>
      </c>
      <c r="N111" s="218"/>
      <c r="O111" s="218"/>
      <c r="P111" s="221"/>
      <c r="Q111" s="138"/>
      <c r="R111" s="134"/>
      <c r="S111" s="1474">
        <v>2</v>
      </c>
      <c r="T111" s="141">
        <v>5</v>
      </c>
      <c r="U111" s="134"/>
      <c r="V111" s="134"/>
      <c r="W111" s="134"/>
      <c r="X111" s="134"/>
      <c r="Y111" s="134"/>
      <c r="Z111" s="134"/>
      <c r="AA111" s="134"/>
      <c r="AB111" s="134"/>
      <c r="AC111" s="134"/>
    </row>
    <row r="112" spans="1:29" ht="18" customHeight="1" thickBot="1" x14ac:dyDescent="0.3">
      <c r="B112" s="244"/>
      <c r="C112" s="41"/>
      <c r="D112" s="880" t="s">
        <v>1399</v>
      </c>
      <c r="E112" s="1457" t="s">
        <v>1400</v>
      </c>
      <c r="F112" s="196"/>
      <c r="G112" s="1461"/>
      <c r="H112" s="574"/>
      <c r="I112" s="1461"/>
      <c r="J112" s="145"/>
      <c r="K112" s="1461"/>
      <c r="L112" s="145"/>
      <c r="M112" s="1036"/>
      <c r="N112" s="218"/>
      <c r="O112" s="218"/>
      <c r="P112" s="221"/>
      <c r="Q112" s="138"/>
      <c r="R112" s="134"/>
      <c r="S112" s="141">
        <v>3</v>
      </c>
      <c r="T112" s="1475">
        <v>4</v>
      </c>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41" t="str" cm="1">
        <f t="array" aca="1" ref="C114" ca="1">IF(INDIRECT("'Incentives'!C"&amp;'Configurable Tab'!C10+1) = "Yes",IF(INDIRECT("'Incentives'!E"&amp;'Configurable Tab'!C10+5)&lt;Welcome!$D$12,"Yes",IF(AND(INDIRECT("'Incentives'!E"&amp;'Configurable Tab'!C10+5)&gt;=Welcome!$D$12,INDIRECT("'Incentives'!E"&amp;'Configurable Tab'!C10+5)='Required Info to Submit'!$F$17),"No","")),"")</f>
        <v>No</v>
      </c>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Submit'!F$17="","",DATE(YEAR('Required Info to Submit'!F$17)+1,MONTH('Required Info to Submit'!F$17),DAY('Required Info to Submit'!F$17)+$U$110)),""),"")</f>
        <v/>
      </c>
      <c r="F115" s="882" t="str">
        <f>'Incentives Worksheet'!G245</f>
        <v>Weekly Baseline</v>
      </c>
      <c r="G115" s="1464"/>
      <c r="H115" s="188"/>
      <c r="I115" s="973" t="str">
        <f>IF(E111="Yes",999999999.99,"")</f>
        <v/>
      </c>
      <c r="J115" s="230"/>
      <c r="K115" s="1458"/>
      <c r="L115" s="188"/>
      <c r="M115" s="195"/>
      <c r="N115" s="197"/>
      <c r="O115" s="970">
        <f>IF(E111="No",0,IF((($H$10-(G115*52))*K115)&lt;0,0,(($H$10-(G115*52))*K115)))</f>
        <v>0</v>
      </c>
      <c r="P115" s="221"/>
      <c r="Q115" s="138"/>
      <c r="R115" s="871"/>
      <c r="S115" s="141">
        <v>6</v>
      </c>
      <c r="T115" s="243">
        <v>1</v>
      </c>
      <c r="U115" s="1473"/>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1473">
        <v>7</v>
      </c>
      <c r="T116" s="243">
        <v>0</v>
      </c>
      <c r="U116" s="1473"/>
    </row>
    <row r="117" spans="2:29" ht="10.15" customHeight="1" x14ac:dyDescent="0.25">
      <c r="C117" s="134"/>
      <c r="D117" s="136"/>
      <c r="E117" s="134"/>
      <c r="F117" s="180"/>
      <c r="G117" s="234"/>
      <c r="H117" s="177"/>
      <c r="I117" s="235"/>
      <c r="J117" s="211"/>
      <c r="K117" s="212"/>
      <c r="L117" s="177"/>
      <c r="M117" s="212"/>
      <c r="N117" s="212"/>
      <c r="O117" s="212"/>
      <c r="P117" s="141"/>
      <c r="Q117" s="138"/>
      <c r="R117" s="134"/>
      <c r="S117" s="1473"/>
      <c r="T117" s="141"/>
      <c r="U117" s="134"/>
      <c r="V117" s="134"/>
      <c r="W117" s="134"/>
      <c r="X117" s="134"/>
      <c r="Y117" s="134"/>
      <c r="Z117" s="134"/>
      <c r="AA117" s="134"/>
      <c r="AB117" s="134"/>
      <c r="AC117" s="134"/>
    </row>
    <row r="118" spans="2:29" s="1097" customFormat="1" ht="20.25" hidden="1" customHeight="1" thickBot="1" x14ac:dyDescent="0.3">
      <c r="B118" s="249"/>
      <c r="C118" s="226"/>
      <c r="D118" s="1590" t="s">
        <v>1113</v>
      </c>
      <c r="E118" s="1590"/>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t="str" cm="1">
        <f t="array" aca="1" ref="C122" ca="1">IF(INDIRECT("'Incentives'!C"&amp;'Configurable Tab'!C11+1) = "Yes",IF(INDIRECT("'Incentives'!E"&amp;'Configurable Tab'!C11+5)&lt;Welcome!$D$12,"Yes",IF(AND(INDIRECT("'Incentives'!E"&amp;'Configurable Tab'!C11+5)&gt;=Welcome!$D$12,INDIRECT("'Incentives'!E"&amp;'Configurable Tab'!C11+5)='Required Info to Submit'!$F$17),"No","")),"")</f>
        <v/>
      </c>
      <c r="D122" s="887" t="s">
        <v>1401</v>
      </c>
      <c r="E122" s="1053"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64"/>
      <c r="H123" s="188"/>
      <c r="I123" s="1043" t="str">
        <f>IF(E119="Yes",999999999.99,"")</f>
        <v/>
      </c>
      <c r="J123" s="230"/>
      <c r="K123" s="1458"/>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90" t="s">
        <v>1113</v>
      </c>
      <c r="E126" s="1590"/>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t="str" cm="1">
        <f t="array" aca="1" ref="C130" ca="1">IF(INDIRECT("'Incentives'!C"&amp;'Configurable Tab'!C12+1) = "Yes",IF(INDIRECT("'Incentives'!E"&amp;'Configurable Tab'!C12+5)&lt;Welcome!$D$12,"Yes",IF(AND(INDIRECT("'Incentives'!E"&amp;'Configurable Tab'!C12+5)&gt;=Welcome!$D$12,INDIRECT("'Incentives'!E"&amp;'Configurable Tab'!C12+5)='Required Info to Submit'!$F$17),"No","")),"")</f>
        <v/>
      </c>
      <c r="D130" s="887" t="s">
        <v>1401</v>
      </c>
      <c r="E130" s="1053"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64"/>
      <c r="H131" s="188"/>
      <c r="I131" s="1043" t="str">
        <f>IF(E127="Yes",999999999.99,"")</f>
        <v/>
      </c>
      <c r="J131" s="230"/>
      <c r="K131" s="1458"/>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90" t="s">
        <v>1113</v>
      </c>
      <c r="E134" s="1590"/>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t="str" cm="1">
        <f t="array" aca="1" ref="C138" ca="1">IF(INDIRECT("'Incentives'!C"&amp;'Configurable Tab'!C13+1) = "Yes",IF(INDIRECT("'Incentives'!E"&amp;'Configurable Tab'!C13+5)&lt;Welcome!$D$12,"Yes",IF(AND(INDIRECT("'Incentives'!E"&amp;'Configurable Tab'!C13+5)&gt;=Welcome!$D$12,INDIRECT("'Incentives'!E"&amp;'Configurable Tab'!C13+5)='Required Info to Submit'!$F$17),"No","")),"")</f>
        <v/>
      </c>
      <c r="D138" s="887" t="s">
        <v>1401</v>
      </c>
      <c r="E138" s="1053"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64"/>
      <c r="H139" s="188"/>
      <c r="I139" s="1043" t="str">
        <f>IF(E135="Yes",999999999.99,"")</f>
        <v/>
      </c>
      <c r="J139" s="230"/>
      <c r="K139" s="1458"/>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90" t="s">
        <v>1113</v>
      </c>
      <c r="E142" s="1590"/>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t="str" cm="1">
        <f t="array" aca="1" ref="C146" ca="1">IF(INDIRECT("'Incentives'!C"&amp;'Configurable Tab'!C14+1) = "Yes",IF(INDIRECT("'Incentives'!E"&amp;'Configurable Tab'!C14+5)&lt;Welcome!$D$12,"Yes",IF(AND(INDIRECT("'Incentives'!E"&amp;'Configurable Tab'!C14+5)&gt;=Welcome!$D$12,INDIRECT("'Incentives'!E"&amp;'Configurable Tab'!C14+5)='Required Info to Submit'!$F$17),"No","")),"")</f>
        <v/>
      </c>
      <c r="D146" s="887" t="s">
        <v>1401</v>
      </c>
      <c r="E146" s="1053"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64"/>
      <c r="H147" s="188"/>
      <c r="I147" s="1043" t="str">
        <f>IF(E143="Yes",999999999.99,"")</f>
        <v/>
      </c>
      <c r="J147" s="230"/>
      <c r="K147" s="1458"/>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90" t="s">
        <v>720</v>
      </c>
      <c r="E150" s="1590"/>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1457" t="s">
        <v>1400</v>
      </c>
      <c r="F152" s="240"/>
      <c r="G152" s="1461"/>
      <c r="H152" s="574"/>
      <c r="I152" s="1461"/>
      <c r="J152" s="145"/>
      <c r="K152" s="1461"/>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t="str" cm="1">
        <f t="array" aca="1" ref="C154" ca="1">IF(INDIRECT("'Incentives'!C"&amp;'Configurable Tab'!C15+1) = "Yes",IF(INDIRECT("'Incentives'!E"&amp;'Configurable Tab'!C15+5)&lt;Welcome!$D$12,"Yes",IF(AND(INDIRECT("'Incentives'!E"&amp;'Configurable Tab'!C15+5)&gt;=Welcome!$D$12,INDIRECT("'Incentives'!E"&amp;'Configurable Tab'!C15+5)='Required Info to Submit'!$F$17),"No","")),"")</f>
        <v/>
      </c>
      <c r="D154" s="887" t="s">
        <v>1401</v>
      </c>
      <c r="E154" s="148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483" t="str">
        <f>IF(E151="Yes",IF(Welcome!$D$6="New",IF('Required Info to Submit'!F$17="","",'Required Info to Submit'!F$17),""),"")</f>
        <v/>
      </c>
      <c r="F155" s="882" t="s">
        <v>1005</v>
      </c>
      <c r="G155" s="1463"/>
      <c r="H155" s="188"/>
      <c r="I155" s="969" t="str">
        <f>IF(E151="Yes",1,"")</f>
        <v/>
      </c>
      <c r="J155" s="230"/>
      <c r="K155" s="1458"/>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90" t="s">
        <v>1103</v>
      </c>
      <c r="E158" s="1590"/>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57" t="s">
        <v>1400</v>
      </c>
      <c r="F160" s="694" t="s">
        <v>1103</v>
      </c>
      <c r="G160" s="1461"/>
      <c r="H160" s="574"/>
      <c r="I160" s="1461"/>
      <c r="J160" s="145"/>
      <c r="K160" s="1461"/>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64"/>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90" t="s">
        <v>1103</v>
      </c>
      <c r="E166" s="1590"/>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64"/>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90" t="s">
        <v>1007</v>
      </c>
      <c r="E174" s="1590"/>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1457" t="s">
        <v>1400</v>
      </c>
      <c r="F176" s="196"/>
      <c r="G176" s="1461"/>
      <c r="H176" s="574"/>
      <c r="I176" s="1461"/>
      <c r="J176" s="145"/>
      <c r="K176" s="1461"/>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145" t="str" cm="1">
        <f t="array" aca="1" ref="C178" ca="1">IF(INDIRECT("'Incentives'!C"&amp;'Configurable Tab'!C18+1) = "Yes",IF(INDIRECT("'Incentives'!E"&amp;'Configurable Tab'!C18+5)&lt;Welcome!$D$12,"Yes",IF(AND(INDIRECT("'Incentives'!E"&amp;'Configurable Tab'!C18+5)&gt;=Welcome!$D$12,INDIRECT("'Incentives'!E"&amp;'Configurable Tab'!C18+5)='Required Info to Submit'!$F$17),"No","")),"")</f>
        <v/>
      </c>
      <c r="D178" s="887" t="s">
        <v>1401</v>
      </c>
      <c r="E178" s="1483"/>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483"/>
      <c r="F179" s="196"/>
      <c r="G179" s="1460"/>
      <c r="H179" s="145"/>
      <c r="I179" s="145"/>
      <c r="J179" s="145"/>
      <c r="K179" s="1458"/>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90" t="s">
        <v>1492</v>
      </c>
      <c r="E182" s="1590"/>
      <c r="F182" s="213"/>
      <c r="G182" s="236"/>
      <c r="H182" s="183"/>
      <c r="I182" s="237"/>
      <c r="J182" s="216"/>
      <c r="K182" s="217"/>
      <c r="L182" s="183"/>
      <c r="M182" s="217"/>
      <c r="N182" s="158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4"/>
      <c r="P182" s="1585"/>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86"/>
      <c r="O183" s="1586"/>
      <c r="P183" s="1587"/>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86"/>
      <c r="O184" s="1586"/>
      <c r="P184" s="1587"/>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86"/>
      <c r="O185" s="1586"/>
      <c r="P185" s="1587"/>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19" t="s">
        <v>1495</v>
      </c>
      <c r="E189" s="1620"/>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21" t="s">
        <v>1496</v>
      </c>
      <c r="E190" s="1622"/>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90" t="s">
        <v>1140</v>
      </c>
      <c r="E193" s="1590"/>
      <c r="F193" s="213"/>
      <c r="G193" s="236"/>
      <c r="H193" s="183"/>
      <c r="I193" s="237"/>
      <c r="J193" s="216"/>
      <c r="K193" s="217"/>
      <c r="L193" s="183"/>
      <c r="M193" s="217"/>
      <c r="N193" s="158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4"/>
      <c r="P193" s="1585"/>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86"/>
      <c r="O194" s="1586"/>
      <c r="P194" s="1587"/>
      <c r="Q194" s="179"/>
      <c r="S194" s="620"/>
    </row>
    <row r="195" spans="2:19" s="872" customFormat="1" ht="18" customHeight="1" thickBot="1" x14ac:dyDescent="0.3">
      <c r="B195" s="244"/>
      <c r="C195" s="188"/>
      <c r="D195" s="880" t="s">
        <v>1399</v>
      </c>
      <c r="E195" s="1457" t="s">
        <v>1400</v>
      </c>
      <c r="F195" s="940"/>
      <c r="G195" s="1044"/>
      <c r="H195" s="188"/>
      <c r="I195" s="1461"/>
      <c r="J195" s="940"/>
      <c r="K195" s="1461"/>
      <c r="L195" s="188"/>
      <c r="M195" s="1075"/>
      <c r="N195" s="1586"/>
      <c r="O195" s="1586"/>
      <c r="P195" s="1587"/>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86"/>
      <c r="O196" s="1586"/>
      <c r="P196" s="1587"/>
      <c r="Q196" s="179"/>
      <c r="S196" s="617" t="str">
        <f>IF($E196="NO","",IF($I195="Select Payment Method","X",""))</f>
        <v/>
      </c>
    </row>
    <row r="197" spans="2:19" s="872" customFormat="1" ht="18" customHeight="1" thickBot="1" x14ac:dyDescent="0.3">
      <c r="B197" s="244"/>
      <c r="C197" s="188" t="str" cm="1">
        <f t="array" aca="1" ref="C197" ca="1">IF(INDIRECT("'Incentives'!C"&amp;'Configurable Tab'!C20+1) = "Yes",IF(INDIRECT("'Incentives'!E"&amp;'Configurable Tab'!C20+5)&lt;Welcome!$D$12,"Yes",IF(AND(INDIRECT("'Incentives'!E"&amp;'Configurable Tab'!C20+5)&gt;=Welcome!$D$12,INDIRECT("'Incentives'!E"&amp;'Configurable Tab'!C20+5)='Required Info to Submit'!$F$17),"No","")),"")</f>
        <v/>
      </c>
      <c r="D197" s="887" t="s">
        <v>1401</v>
      </c>
      <c r="E197" s="1053" t="str">
        <f>IF(E194="Yes",IF(Welcome!$D$6="New",IF('Required Info to Submit'!F$14="","",'Required Info to Submit'!F$14),""),"")</f>
        <v/>
      </c>
      <c r="F197" s="693"/>
      <c r="G197" s="229" t="s">
        <v>1412</v>
      </c>
      <c r="H197" s="188"/>
      <c r="I197" s="194" t="s">
        <v>1500</v>
      </c>
      <c r="J197" s="1591"/>
      <c r="K197" s="194" t="s">
        <v>730</v>
      </c>
      <c r="L197" s="1591"/>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462">
        <v>0</v>
      </c>
      <c r="H198" s="188"/>
      <c r="I198" s="977">
        <v>1</v>
      </c>
      <c r="J198" s="1592"/>
      <c r="K198" s="974"/>
      <c r="L198" s="1593"/>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90" t="s">
        <v>1140</v>
      </c>
      <c r="E205" s="1590"/>
      <c r="F205" s="213"/>
      <c r="G205" s="236"/>
      <c r="H205" s="183"/>
      <c r="I205" s="237"/>
      <c r="J205" s="216"/>
      <c r="K205" s="217"/>
      <c r="L205" s="183"/>
      <c r="M205" s="217"/>
      <c r="N205" s="158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4"/>
      <c r="P205" s="1585"/>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86"/>
      <c r="O206" s="1586"/>
      <c r="P206" s="1587"/>
      <c r="Q206" s="179"/>
      <c r="S206" s="620"/>
    </row>
    <row r="207" spans="2:19" s="872" customFormat="1" ht="18" hidden="1" customHeight="1" thickBot="1" x14ac:dyDescent="0.3">
      <c r="B207" s="244"/>
      <c r="C207" s="188"/>
      <c r="D207" s="880" t="s">
        <v>1399</v>
      </c>
      <c r="E207" s="950" t="s">
        <v>1400</v>
      </c>
      <c r="F207" s="694" t="s">
        <v>883</v>
      </c>
      <c r="G207" s="1044"/>
      <c r="H207" s="188"/>
      <c r="I207" s="1461"/>
      <c r="J207" s="940"/>
      <c r="K207" s="1461"/>
      <c r="L207" s="188"/>
      <c r="M207" s="1096"/>
      <c r="N207" s="1586"/>
      <c r="O207" s="1586"/>
      <c r="P207" s="1587"/>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86"/>
      <c r="O208" s="1586"/>
      <c r="P208" s="1587"/>
      <c r="Q208" s="179"/>
      <c r="S208" s="620"/>
    </row>
    <row r="209" spans="2:19" s="872" customFormat="1" ht="18" hidden="1" customHeight="1" thickBot="1" x14ac:dyDescent="0.3">
      <c r="B209" s="244"/>
      <c r="C209" s="188" t="str" cm="1">
        <f t="array" aca="1" ref="C209" ca="1">IF(INDIRECT("'Incentives'!C"&amp;'Configurable Tab'!C21+1) = "Yes",IF(INDIRECT("'Incentives'!E"&amp;'Configurable Tab'!C21+5)&lt;Welcome!$D$12,"Yes",IF(AND(INDIRECT("'Incentives'!E"&amp;'Configurable Tab'!C21+5)&gt;=Welcome!$D$12,INDIRECT("'Incentives'!E"&amp;'Configurable Tab'!C21+5)='Required Info to Submit'!$F$17),"No","")),"")</f>
        <v/>
      </c>
      <c r="D209" s="887" t="s">
        <v>1401</v>
      </c>
      <c r="E209" s="1053" t="str">
        <f>IF(E206="Yes",IF(Welcome!$D$6="New",IF('Required Info to Submit'!F$14="","",'Required Info to Submit'!F$14),""),"")</f>
        <v/>
      </c>
      <c r="F209" s="693"/>
      <c r="G209" s="229" t="s">
        <v>1412</v>
      </c>
      <c r="H209" s="188"/>
      <c r="I209" s="194" t="s">
        <v>1500</v>
      </c>
      <c r="J209" s="1591"/>
      <c r="K209" s="194" t="s">
        <v>730</v>
      </c>
      <c r="L209" s="1591"/>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462">
        <v>0</v>
      </c>
      <c r="H210" s="188"/>
      <c r="I210" s="977">
        <v>1</v>
      </c>
      <c r="J210" s="1592"/>
      <c r="K210" s="974"/>
      <c r="L210" s="1593"/>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81" t="s">
        <v>1502</v>
      </c>
      <c r="E217" s="158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57" t="s">
        <v>1400</v>
      </c>
      <c r="F219" s="196"/>
      <c r="G219" s="895"/>
      <c r="H219" s="145"/>
      <c r="I219" s="1459"/>
      <c r="J219" s="940"/>
      <c r="K219" s="1461"/>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65"/>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Q224" s="1218"/>
    </row>
    <row r="225" spans="2:17" s="180" customFormat="1" ht="19.5" hidden="1" customHeight="1" thickBot="1" x14ac:dyDescent="0.3">
      <c r="B225" s="249"/>
      <c r="C225" s="184"/>
      <c r="D225" s="1581" t="s">
        <v>1839</v>
      </c>
      <c r="E225" s="1582"/>
      <c r="F225" s="948"/>
      <c r="G225" s="184"/>
      <c r="H225" s="184"/>
      <c r="I225" s="184"/>
      <c r="J225" s="184"/>
      <c r="K225" s="184"/>
      <c r="L225" s="184"/>
      <c r="M225" s="184"/>
      <c r="N225" s="184"/>
      <c r="O225" s="184"/>
      <c r="P225" s="635"/>
      <c r="Q225" s="1218"/>
    </row>
    <row r="226" spans="2:17" s="180" customFormat="1" ht="19.5" hidden="1" customHeight="1" thickBot="1" x14ac:dyDescent="0.3">
      <c r="B226" s="244"/>
      <c r="C226" s="940"/>
      <c r="D226" s="980" t="s">
        <v>526</v>
      </c>
      <c r="E226" s="900" t="s">
        <v>651</v>
      </c>
      <c r="F226" s="240"/>
      <c r="G226" s="194" t="s">
        <v>1396</v>
      </c>
      <c r="H226" s="188"/>
      <c r="I226" s="194" t="s">
        <v>1397</v>
      </c>
      <c r="J226" s="41"/>
      <c r="K226" s="194" t="s">
        <v>1413</v>
      </c>
      <c r="L226" s="188"/>
      <c r="M226" s="194" t="s">
        <v>1398</v>
      </c>
      <c r="N226" s="940"/>
      <c r="O226" s="940"/>
      <c r="P226" s="636"/>
      <c r="Q226" s="1218"/>
    </row>
    <row r="227" spans="2:17" s="180" customFormat="1" ht="29.25" hidden="1" customHeight="1" thickBot="1" x14ac:dyDescent="0.3">
      <c r="B227" s="244"/>
      <c r="C227" s="940"/>
      <c r="D227" s="880" t="s">
        <v>1399</v>
      </c>
      <c r="E227" s="1485" t="s">
        <v>1400</v>
      </c>
      <c r="F227" s="196"/>
      <c r="G227" s="1486" t="str">
        <f>IF(E226="Yes","Program","")</f>
        <v/>
      </c>
      <c r="H227" s="188"/>
      <c r="I227" s="1487"/>
      <c r="J227" s="940"/>
      <c r="K227" s="1486" t="str">
        <f>IF(E226="Yes","Corporate Office","")</f>
        <v/>
      </c>
      <c r="L227" s="188"/>
      <c r="M227" s="1488"/>
      <c r="N227" s="940"/>
      <c r="O227" s="940"/>
      <c r="P227" s="636"/>
      <c r="Q227" s="1218"/>
    </row>
    <row r="228" spans="2:17" s="180" customFormat="1" ht="19.5" hidden="1" customHeight="1" thickBot="1" x14ac:dyDescent="0.3">
      <c r="B228" s="244"/>
      <c r="C228" s="940"/>
      <c r="D228" s="7"/>
      <c r="E228" s="621"/>
      <c r="F228" s="895"/>
      <c r="G228" s="895"/>
      <c r="H228" s="940"/>
      <c r="I228" s="188"/>
      <c r="J228" s="188"/>
      <c r="K228" s="188"/>
      <c r="L228" s="940"/>
      <c r="M228" s="940"/>
      <c r="N228" s="940"/>
      <c r="O228" s="940"/>
      <c r="P228" s="636"/>
      <c r="Q228" s="1218"/>
    </row>
    <row r="229" spans="2:17" s="180" customFormat="1" ht="19.5" hidden="1" customHeight="1" thickBot="1" x14ac:dyDescent="0.3">
      <c r="B229" s="244"/>
      <c r="C229" s="940"/>
      <c r="D229" s="887" t="s">
        <v>1401</v>
      </c>
      <c r="E229" s="1489" t="str">
        <f>IF(E226="Yes",IF(C229&lt;&gt;"Yes",Welcome!D8,""),"")</f>
        <v/>
      </c>
      <c r="F229" s="240"/>
      <c r="G229" s="229" t="s">
        <v>1412</v>
      </c>
      <c r="H229" s="188"/>
      <c r="I229" s="1490"/>
      <c r="J229" s="1490"/>
      <c r="K229" s="194" t="s">
        <v>1405</v>
      </c>
      <c r="L229" s="1490"/>
      <c r="M229" s="1490"/>
      <c r="N229" s="188"/>
      <c r="O229" s="6" t="s">
        <v>492</v>
      </c>
      <c r="P229" s="636"/>
      <c r="Q229" s="1218"/>
    </row>
    <row r="230" spans="2:17" s="180" customFormat="1" ht="19.5" hidden="1" customHeight="1" thickBot="1" x14ac:dyDescent="0.3">
      <c r="B230" s="244"/>
      <c r="C230" s="940"/>
      <c r="D230" s="887" t="s">
        <v>1402</v>
      </c>
      <c r="E230" s="1489" t="str">
        <f>IF(E226="Yes",IF(C229&lt;&gt;"Yes",'Required Info to Submit'!F17,""),"")</f>
        <v/>
      </c>
      <c r="F230" s="196"/>
      <c r="G230" s="1462" t="str">
        <f>IF(E226="Yes",IFERROR(K233*K230,""),"")</f>
        <v/>
      </c>
      <c r="H230" s="188"/>
      <c r="I230" s="1491"/>
      <c r="J230" s="1491"/>
      <c r="K230" s="1465" t="str">
        <f>IF(E226="Yes",IFERROR(K222,""),"")</f>
        <v/>
      </c>
      <c r="L230" s="1490"/>
      <c r="M230" s="1490"/>
      <c r="N230" s="188"/>
      <c r="O230" s="970" t="str">
        <f>IF(E226="Yes",IFERROR(ROUND((G230/E233),0)*52,""),"")</f>
        <v/>
      </c>
      <c r="P230" s="636"/>
      <c r="Q230" s="1218"/>
    </row>
    <row r="231" spans="2:17" s="180" customFormat="1" ht="19.5" hidden="1" customHeight="1" thickBot="1" x14ac:dyDescent="0.3">
      <c r="B231" s="244"/>
      <c r="C231" s="940"/>
      <c r="D231" s="940"/>
      <c r="E231" s="940"/>
      <c r="F231" s="196"/>
      <c r="G231" s="1490"/>
      <c r="H231" s="1490"/>
      <c r="I231" s="1490"/>
      <c r="J231" s="1490"/>
      <c r="K231" s="1490"/>
      <c r="L231" s="1490"/>
      <c r="M231" s="1490"/>
      <c r="N231" s="1490"/>
      <c r="O231" s="1490"/>
      <c r="P231" s="636"/>
      <c r="Q231" s="1218"/>
    </row>
    <row r="232" spans="2:17" s="180" customFormat="1" ht="27" hidden="1" customHeight="1" thickBot="1" x14ac:dyDescent="0.3">
      <c r="B232" s="244"/>
      <c r="C232" s="940"/>
      <c r="D232" s="1492" t="s">
        <v>2077</v>
      </c>
      <c r="E232" s="1493" t="str">
        <f>IF(E226="Yes",Welcome!D8,"")</f>
        <v/>
      </c>
      <c r="F232" s="196"/>
      <c r="G232" s="229" t="s">
        <v>2078</v>
      </c>
      <c r="H232" s="1490"/>
      <c r="I232" s="229" t="s">
        <v>2079</v>
      </c>
      <c r="J232" s="1490"/>
      <c r="K232" s="229" t="s">
        <v>1501</v>
      </c>
      <c r="L232" s="1490"/>
      <c r="M232" s="1490"/>
      <c r="N232" s="1490"/>
      <c r="O232" s="1490"/>
      <c r="P232" s="636"/>
      <c r="Q232" s="1218"/>
    </row>
    <row r="233" spans="2:17" s="180" customFormat="1" ht="19.5" hidden="1" customHeight="1" thickBot="1" x14ac:dyDescent="0.3">
      <c r="B233" s="244"/>
      <c r="C233" s="940"/>
      <c r="D233" s="1492" t="s">
        <v>2080</v>
      </c>
      <c r="E233" s="1494" t="str">
        <f>IF(E226="Yes",IFERROR(ROUND((E230-E232)/7,0),""),"")</f>
        <v/>
      </c>
      <c r="F233" s="196"/>
      <c r="G233" s="1495"/>
      <c r="H233" s="1490"/>
      <c r="I233" s="1462" t="str">
        <f>IF(E226="Yes",IFERROR(VLOOKUP(G233,'Customer Inputs'!G6:'Customer Inputs'!P15,8),""),"")</f>
        <v/>
      </c>
      <c r="J233" s="1490"/>
      <c r="K233" s="1092" t="str">
        <f>IF(E226="Yes",IFERROR(ROUND((I233/52),0)*E233,""),"")</f>
        <v/>
      </c>
      <c r="L233" s="1490"/>
      <c r="M233" s="1490"/>
      <c r="N233" s="1490"/>
      <c r="O233" s="1490"/>
      <c r="P233" s="636"/>
      <c r="Q233" s="1218"/>
    </row>
    <row r="234" spans="2:17" s="180" customFormat="1" ht="19.5" hidden="1" customHeight="1" x14ac:dyDescent="0.25">
      <c r="B234" s="246"/>
      <c r="C234" s="202"/>
      <c r="D234" s="496"/>
      <c r="E234" s="202"/>
      <c r="F234" s="202"/>
      <c r="G234" s="702"/>
      <c r="H234" s="202"/>
      <c r="I234" s="202"/>
      <c r="J234" s="202"/>
      <c r="K234" s="1155"/>
      <c r="L234" s="202"/>
      <c r="M234" s="202"/>
      <c r="N234" s="202"/>
      <c r="O234" s="202"/>
      <c r="P234" s="251"/>
      <c r="Q234" s="1218"/>
    </row>
    <row r="235" spans="2:17" s="180" customFormat="1" ht="19.5" hidden="1" customHeight="1" x14ac:dyDescent="0.25">
      <c r="Q235" s="1218"/>
    </row>
    <row r="236" spans="2:17" s="180" customFormat="1" ht="19.5" hidden="1" customHeight="1" thickBot="1" x14ac:dyDescent="0.3">
      <c r="B236" s="249"/>
      <c r="C236" s="184"/>
      <c r="D236" s="1581" t="s">
        <v>1839</v>
      </c>
      <c r="E236" s="1582"/>
      <c r="F236" s="948"/>
      <c r="G236" s="184"/>
      <c r="H236" s="184"/>
      <c r="I236" s="184"/>
      <c r="J236" s="184"/>
      <c r="K236" s="184"/>
      <c r="L236" s="184"/>
      <c r="M236" s="184"/>
      <c r="N236" s="184"/>
      <c r="O236" s="184"/>
      <c r="P236" s="635"/>
      <c r="Q236" s="1218"/>
    </row>
    <row r="237" spans="2:17" s="180" customFormat="1" ht="19.5" hidden="1" customHeight="1" thickBot="1" x14ac:dyDescent="0.3">
      <c r="B237" s="244"/>
      <c r="C237" s="940"/>
      <c r="D237" s="980" t="s">
        <v>526</v>
      </c>
      <c r="E237" s="900" t="s">
        <v>651</v>
      </c>
      <c r="F237" s="240"/>
      <c r="G237" s="194" t="s">
        <v>1396</v>
      </c>
      <c r="H237" s="188"/>
      <c r="I237" s="194" t="s">
        <v>1397</v>
      </c>
      <c r="J237" s="41"/>
      <c r="K237" s="194" t="s">
        <v>1413</v>
      </c>
      <c r="L237" s="188"/>
      <c r="M237" s="194" t="s">
        <v>1398</v>
      </c>
      <c r="N237" s="940"/>
      <c r="O237" s="940"/>
      <c r="P237" s="636"/>
      <c r="Q237" s="1218"/>
    </row>
    <row r="238" spans="2:17" s="180" customFormat="1" ht="31.5" hidden="1" customHeight="1" thickBot="1" x14ac:dyDescent="0.3">
      <c r="B238" s="244"/>
      <c r="C238" s="940"/>
      <c r="D238" s="880" t="s">
        <v>1399</v>
      </c>
      <c r="E238" s="1485" t="s">
        <v>1400</v>
      </c>
      <c r="F238" s="196"/>
      <c r="G238" s="1486" t="str">
        <f>IF(E237="Yes","Program","")</f>
        <v/>
      </c>
      <c r="H238" s="188"/>
      <c r="I238" s="1487"/>
      <c r="J238" s="940"/>
      <c r="K238" s="1486" t="str">
        <f>IF(E237="Yes","Corporate Office","")</f>
        <v/>
      </c>
      <c r="L238" s="188"/>
      <c r="M238" s="1488"/>
      <c r="N238" s="940"/>
      <c r="O238" s="940"/>
      <c r="P238" s="636"/>
      <c r="Q238" s="1218"/>
    </row>
    <row r="239" spans="2:17" s="180" customFormat="1" ht="19.5" hidden="1" customHeight="1" thickBot="1" x14ac:dyDescent="0.3">
      <c r="B239" s="244"/>
      <c r="C239" s="940"/>
      <c r="D239" s="7"/>
      <c r="E239" s="621"/>
      <c r="F239" s="895"/>
      <c r="G239" s="895"/>
      <c r="H239" s="940"/>
      <c r="I239" s="188"/>
      <c r="J239" s="188"/>
      <c r="K239" s="188"/>
      <c r="L239" s="940"/>
      <c r="M239" s="940"/>
      <c r="N239" s="940"/>
      <c r="O239" s="940"/>
      <c r="P239" s="636"/>
      <c r="Q239" s="1218"/>
    </row>
    <row r="240" spans="2:17" s="180" customFormat="1" ht="19.5" hidden="1" customHeight="1" thickBot="1" x14ac:dyDescent="0.3">
      <c r="B240" s="244"/>
      <c r="C240" s="940"/>
      <c r="D240" s="887" t="s">
        <v>1401</v>
      </c>
      <c r="E240" s="1489" t="str">
        <f>IF(E237="Yes",IF(C240&lt;&gt;"Yes",Welcome!D19,""),"")</f>
        <v/>
      </c>
      <c r="F240" s="240"/>
      <c r="G240" s="229" t="s">
        <v>1412</v>
      </c>
      <c r="H240" s="188"/>
      <c r="I240" s="1490"/>
      <c r="J240" s="1490"/>
      <c r="K240" s="194" t="s">
        <v>1405</v>
      </c>
      <c r="L240" s="1490"/>
      <c r="M240" s="1490"/>
      <c r="N240" s="188"/>
      <c r="O240" s="6" t="s">
        <v>492</v>
      </c>
      <c r="P240" s="636"/>
      <c r="Q240" s="1218"/>
    </row>
    <row r="241" spans="2:17" s="180" customFormat="1" ht="19.5" hidden="1" customHeight="1" thickBot="1" x14ac:dyDescent="0.3">
      <c r="B241" s="244"/>
      <c r="C241" s="940"/>
      <c r="D241" s="887" t="s">
        <v>1402</v>
      </c>
      <c r="E241" s="1489" t="str">
        <f>IF(E237="Yes",IF(C240&lt;&gt;"Yes",'Required Info to Submit'!F28,""),"")</f>
        <v/>
      </c>
      <c r="F241" s="196"/>
      <c r="G241" s="1462" t="str">
        <f>IF(E237="Yes",IFERROR(K244*K241,""),"")</f>
        <v/>
      </c>
      <c r="H241" s="188"/>
      <c r="I241" s="1491"/>
      <c r="J241" s="1491"/>
      <c r="K241" s="1465" t="str">
        <f>IF(E237="Yes",IFERROR(K233,""),"")</f>
        <v/>
      </c>
      <c r="L241" s="1490"/>
      <c r="M241" s="1490"/>
      <c r="N241" s="188"/>
      <c r="O241" s="970" t="str">
        <f>IF(E237="Yes",IFERROR(ROUND((G241/E244),0)*52,""),"")</f>
        <v/>
      </c>
      <c r="P241" s="636"/>
      <c r="Q241" s="1218"/>
    </row>
    <row r="242" spans="2:17" s="180" customFormat="1" ht="19.5" hidden="1" customHeight="1" thickBot="1" x14ac:dyDescent="0.3">
      <c r="B242" s="244"/>
      <c r="C242" s="940"/>
      <c r="D242" s="940"/>
      <c r="E242" s="940"/>
      <c r="F242" s="196"/>
      <c r="G242" s="1490"/>
      <c r="H242" s="1490"/>
      <c r="I242" s="1490"/>
      <c r="J242" s="1490"/>
      <c r="K242" s="1490"/>
      <c r="L242" s="1490"/>
      <c r="M242" s="1490"/>
      <c r="N242" s="1490"/>
      <c r="O242" s="1490"/>
      <c r="P242" s="636"/>
      <c r="Q242" s="1218"/>
    </row>
    <row r="243" spans="2:17" s="180" customFormat="1" ht="27.75" hidden="1" customHeight="1" thickBot="1" x14ac:dyDescent="0.3">
      <c r="B243" s="244"/>
      <c r="C243" s="940"/>
      <c r="D243" s="1492" t="s">
        <v>2077</v>
      </c>
      <c r="E243" s="1493" t="str">
        <f>IF(E237="Yes",Welcome!D19,"")</f>
        <v/>
      </c>
      <c r="F243" s="196"/>
      <c r="G243" s="229" t="s">
        <v>2078</v>
      </c>
      <c r="H243" s="1490"/>
      <c r="I243" s="229" t="s">
        <v>2079</v>
      </c>
      <c r="J243" s="1490"/>
      <c r="K243" s="229" t="s">
        <v>1501</v>
      </c>
      <c r="L243" s="1490"/>
      <c r="M243" s="1490"/>
      <c r="N243" s="1490"/>
      <c r="O243" s="1490"/>
      <c r="P243" s="636"/>
      <c r="Q243" s="1218"/>
    </row>
    <row r="244" spans="2:17" s="180" customFormat="1" ht="19.5" hidden="1" customHeight="1" thickBot="1" x14ac:dyDescent="0.3">
      <c r="B244" s="244"/>
      <c r="C244" s="940"/>
      <c r="D244" s="1492" t="s">
        <v>2080</v>
      </c>
      <c r="E244" s="1494" t="str">
        <f>IF(E237="Yes",IFERROR(ROUND((E241-E243)/7,0),""),"")</f>
        <v/>
      </c>
      <c r="F244" s="196"/>
      <c r="G244" s="1495"/>
      <c r="H244" s="1490"/>
      <c r="I244" s="1462" t="str">
        <f>IF(E237="Yes",IFERROR(VLOOKUP(G244,'Customer Inputs'!G17:'Customer Inputs'!P26,8),""),"")</f>
        <v/>
      </c>
      <c r="J244" s="1490"/>
      <c r="K244" s="1092" t="str">
        <f>IF(E237="Yes",IFERROR(ROUND((I244/52),0)*E244,""),"")</f>
        <v/>
      </c>
      <c r="L244" s="1490"/>
      <c r="M244" s="1490"/>
      <c r="N244" s="1490"/>
      <c r="O244" s="1490"/>
      <c r="P244" s="636"/>
      <c r="Q244" s="1218"/>
    </row>
    <row r="245" spans="2:17" s="180" customFormat="1" ht="19.5" hidden="1" customHeight="1" x14ac:dyDescent="0.25">
      <c r="B245" s="246"/>
      <c r="C245" s="202"/>
      <c r="D245" s="496"/>
      <c r="E245" s="202"/>
      <c r="F245" s="202"/>
      <c r="G245" s="702"/>
      <c r="H245" s="202"/>
      <c r="I245" s="202"/>
      <c r="J245" s="202"/>
      <c r="K245" s="1155"/>
      <c r="L245" s="202"/>
      <c r="M245" s="202"/>
      <c r="N245" s="202"/>
      <c r="O245" s="202"/>
      <c r="P245" s="251"/>
      <c r="Q245" s="1218"/>
    </row>
    <row r="246" spans="2:17" s="180" customFormat="1" ht="19.5" hidden="1" customHeight="1" x14ac:dyDescent="0.25">
      <c r="Q246" s="1218"/>
    </row>
    <row r="247" spans="2:17" s="180" customFormat="1" ht="19.5" hidden="1" customHeight="1" thickBot="1" x14ac:dyDescent="0.3">
      <c r="B247" s="249"/>
      <c r="C247" s="184"/>
      <c r="D247" s="1581" t="s">
        <v>1839</v>
      </c>
      <c r="E247" s="1582"/>
      <c r="F247" s="948"/>
      <c r="G247" s="184"/>
      <c r="H247" s="184"/>
      <c r="I247" s="184"/>
      <c r="J247" s="184"/>
      <c r="K247" s="184"/>
      <c r="L247" s="184"/>
      <c r="M247" s="184"/>
      <c r="N247" s="184"/>
      <c r="O247" s="184"/>
      <c r="P247" s="635"/>
      <c r="Q247" s="1218"/>
    </row>
    <row r="248" spans="2:17" s="180" customFormat="1" ht="19.5" hidden="1" customHeight="1" thickBot="1" x14ac:dyDescent="0.3">
      <c r="B248" s="244"/>
      <c r="C248" s="940"/>
      <c r="D248" s="980" t="s">
        <v>526</v>
      </c>
      <c r="E248" s="900" t="s">
        <v>651</v>
      </c>
      <c r="F248" s="240"/>
      <c r="G248" s="194" t="s">
        <v>1396</v>
      </c>
      <c r="H248" s="188"/>
      <c r="I248" s="194" t="s">
        <v>1397</v>
      </c>
      <c r="J248" s="41"/>
      <c r="K248" s="194" t="s">
        <v>1413</v>
      </c>
      <c r="L248" s="188"/>
      <c r="M248" s="194" t="s">
        <v>1398</v>
      </c>
      <c r="N248" s="940"/>
      <c r="O248" s="940"/>
      <c r="P248" s="636"/>
      <c r="Q248" s="1218"/>
    </row>
    <row r="249" spans="2:17" s="180" customFormat="1" ht="35.25" hidden="1" customHeight="1" thickBot="1" x14ac:dyDescent="0.3">
      <c r="B249" s="244"/>
      <c r="C249" s="940"/>
      <c r="D249" s="880" t="s">
        <v>1399</v>
      </c>
      <c r="E249" s="1485" t="s">
        <v>1400</v>
      </c>
      <c r="F249" s="196"/>
      <c r="G249" s="1486" t="str">
        <f>IF(E248="Yes","Program","")</f>
        <v/>
      </c>
      <c r="H249" s="188"/>
      <c r="I249" s="1487"/>
      <c r="J249" s="940"/>
      <c r="K249" s="1486" t="str">
        <f>IF(E248="Yes","Corporate Office","")</f>
        <v/>
      </c>
      <c r="L249" s="188"/>
      <c r="M249" s="1488"/>
      <c r="N249" s="940"/>
      <c r="O249" s="940"/>
      <c r="P249" s="636"/>
      <c r="Q249" s="1218"/>
    </row>
    <row r="250" spans="2:17" s="180" customFormat="1" ht="19.5" hidden="1" customHeight="1" thickBot="1" x14ac:dyDescent="0.3">
      <c r="B250" s="244"/>
      <c r="C250" s="940"/>
      <c r="D250" s="7"/>
      <c r="E250" s="621"/>
      <c r="F250" s="895"/>
      <c r="G250" s="895"/>
      <c r="H250" s="940"/>
      <c r="I250" s="188"/>
      <c r="J250" s="188"/>
      <c r="K250" s="188"/>
      <c r="L250" s="940"/>
      <c r="M250" s="940"/>
      <c r="N250" s="940"/>
      <c r="O250" s="940"/>
      <c r="P250" s="636"/>
      <c r="Q250" s="1218"/>
    </row>
    <row r="251" spans="2:17" s="180" customFormat="1" ht="19.5" hidden="1" customHeight="1" thickBot="1" x14ac:dyDescent="0.3">
      <c r="B251" s="244"/>
      <c r="C251" s="940"/>
      <c r="D251" s="887" t="s">
        <v>1401</v>
      </c>
      <c r="E251" s="1489" t="str">
        <f>IF(E248="Yes",IF(C251&lt;&gt;"Yes",Welcome!D30,""),"")</f>
        <v/>
      </c>
      <c r="F251" s="240"/>
      <c r="G251" s="229" t="s">
        <v>1412</v>
      </c>
      <c r="H251" s="188"/>
      <c r="I251" s="1490"/>
      <c r="J251" s="1490"/>
      <c r="K251" s="194" t="s">
        <v>1405</v>
      </c>
      <c r="L251" s="1490"/>
      <c r="M251" s="1490"/>
      <c r="N251" s="188"/>
      <c r="O251" s="6" t="s">
        <v>492</v>
      </c>
      <c r="P251" s="636"/>
      <c r="Q251" s="1218"/>
    </row>
    <row r="252" spans="2:17" s="180" customFormat="1" ht="19.5" hidden="1" customHeight="1" thickBot="1" x14ac:dyDescent="0.3">
      <c r="B252" s="244"/>
      <c r="C252" s="940"/>
      <c r="D252" s="887" t="s">
        <v>1402</v>
      </c>
      <c r="E252" s="1489" t="str">
        <f>IF(E248="Yes",IF(C251&lt;&gt;"Yes",'Required Info to Submit'!F39,""),"")</f>
        <v/>
      </c>
      <c r="F252" s="196"/>
      <c r="G252" s="1462" t="str">
        <f>IF(E248="Yes",IFERROR(K255*K252,""),"")</f>
        <v/>
      </c>
      <c r="H252" s="188"/>
      <c r="I252" s="1491"/>
      <c r="J252" s="1491"/>
      <c r="K252" s="1465" t="str">
        <f>IF(E248="Yes",IFERROR(K244,""),"")</f>
        <v/>
      </c>
      <c r="L252" s="1490"/>
      <c r="M252" s="1490"/>
      <c r="N252" s="188"/>
      <c r="O252" s="970" t="str">
        <f>IF(E248="Yes",IFERROR(ROUND((G252/E255),0)*52,""),"")</f>
        <v/>
      </c>
      <c r="P252" s="636"/>
      <c r="Q252" s="1218"/>
    </row>
    <row r="253" spans="2:17" s="180" customFormat="1" ht="19.5" hidden="1" customHeight="1" thickBot="1" x14ac:dyDescent="0.3">
      <c r="B253" s="244"/>
      <c r="C253" s="940"/>
      <c r="D253" s="940"/>
      <c r="E253" s="940"/>
      <c r="F253" s="196"/>
      <c r="G253" s="1490"/>
      <c r="H253" s="1490"/>
      <c r="I253" s="1490"/>
      <c r="J253" s="1490"/>
      <c r="K253" s="1490"/>
      <c r="L253" s="1490"/>
      <c r="M253" s="1490"/>
      <c r="N253" s="1490"/>
      <c r="O253" s="1490"/>
      <c r="P253" s="636"/>
      <c r="Q253" s="1218"/>
    </row>
    <row r="254" spans="2:17" s="180" customFormat="1" ht="31.5" hidden="1" customHeight="1" thickBot="1" x14ac:dyDescent="0.3">
      <c r="B254" s="244"/>
      <c r="C254" s="940"/>
      <c r="D254" s="1492" t="s">
        <v>2077</v>
      </c>
      <c r="E254" s="1493" t="str">
        <f>IF(E248="Yes",Welcome!D30,"")</f>
        <v/>
      </c>
      <c r="F254" s="196"/>
      <c r="G254" s="229" t="s">
        <v>2078</v>
      </c>
      <c r="H254" s="1490"/>
      <c r="I254" s="229" t="s">
        <v>2079</v>
      </c>
      <c r="J254" s="1490"/>
      <c r="K254" s="229" t="s">
        <v>1501</v>
      </c>
      <c r="L254" s="1490"/>
      <c r="M254" s="1490"/>
      <c r="N254" s="1490"/>
      <c r="O254" s="1490"/>
      <c r="P254" s="636"/>
      <c r="Q254" s="1218"/>
    </row>
    <row r="255" spans="2:17" s="180" customFormat="1" ht="19.5" hidden="1" customHeight="1" thickBot="1" x14ac:dyDescent="0.3">
      <c r="B255" s="244"/>
      <c r="C255" s="940"/>
      <c r="D255" s="1492" t="s">
        <v>2080</v>
      </c>
      <c r="E255" s="1494" t="str">
        <f>IF(E248="Yes",IFERROR(ROUND((E252-E254)/7,0),""),"")</f>
        <v/>
      </c>
      <c r="F255" s="196"/>
      <c r="G255" s="1495"/>
      <c r="H255" s="1490"/>
      <c r="I255" s="1462" t="str">
        <f>IF(E248="Yes",IFERROR(VLOOKUP(G255,'Customer Inputs'!G28:'Customer Inputs'!P37,8),""),"")</f>
        <v/>
      </c>
      <c r="J255" s="1490"/>
      <c r="K255" s="1092" t="str">
        <f>IF(E248="Yes",IFERROR(ROUND((I255/52),0)*E255,""),"")</f>
        <v/>
      </c>
      <c r="L255" s="1490"/>
      <c r="M255" s="1490"/>
      <c r="N255" s="1490"/>
      <c r="O255" s="1490"/>
      <c r="P255" s="636"/>
      <c r="Q255" s="1218"/>
    </row>
    <row r="256" spans="2:17" s="180" customFormat="1" ht="19.5" hidden="1" customHeight="1" x14ac:dyDescent="0.25">
      <c r="B256" s="246"/>
      <c r="C256" s="202"/>
      <c r="D256" s="496"/>
      <c r="E256" s="202"/>
      <c r="F256" s="202"/>
      <c r="G256" s="702"/>
      <c r="H256" s="202"/>
      <c r="I256" s="202"/>
      <c r="J256" s="202"/>
      <c r="K256" s="1155"/>
      <c r="L256" s="202"/>
      <c r="M256" s="202"/>
      <c r="N256" s="202"/>
      <c r="O256" s="202"/>
      <c r="P256" s="251"/>
      <c r="Q256" s="1218"/>
    </row>
    <row r="257" spans="2:17" s="180" customFormat="1" ht="19.5" hidden="1" customHeight="1" x14ac:dyDescent="0.25">
      <c r="Q257" s="1218"/>
    </row>
    <row r="258" spans="2:17" s="180" customFormat="1" ht="19.5" hidden="1" customHeight="1" thickBot="1" x14ac:dyDescent="0.3">
      <c r="B258" s="249"/>
      <c r="C258" s="184"/>
      <c r="D258" s="1581" t="s">
        <v>1839</v>
      </c>
      <c r="E258" s="1582"/>
      <c r="F258" s="948"/>
      <c r="G258" s="184"/>
      <c r="H258" s="184"/>
      <c r="I258" s="184"/>
      <c r="J258" s="184"/>
      <c r="K258" s="184"/>
      <c r="L258" s="184"/>
      <c r="M258" s="184"/>
      <c r="N258" s="184"/>
      <c r="O258" s="184"/>
      <c r="P258" s="635"/>
      <c r="Q258" s="1218"/>
    </row>
    <row r="259" spans="2:17" s="180" customFormat="1" ht="19.5" hidden="1" customHeight="1" thickBot="1" x14ac:dyDescent="0.3">
      <c r="B259" s="244"/>
      <c r="C259" s="940"/>
      <c r="D259" s="980" t="s">
        <v>526</v>
      </c>
      <c r="E259" s="900" t="s">
        <v>651</v>
      </c>
      <c r="F259" s="240"/>
      <c r="G259" s="194" t="s">
        <v>1396</v>
      </c>
      <c r="H259" s="188"/>
      <c r="I259" s="194" t="s">
        <v>1397</v>
      </c>
      <c r="J259" s="41"/>
      <c r="K259" s="194" t="s">
        <v>1413</v>
      </c>
      <c r="L259" s="188"/>
      <c r="M259" s="194" t="s">
        <v>1398</v>
      </c>
      <c r="N259" s="940"/>
      <c r="O259" s="940"/>
      <c r="P259" s="636"/>
      <c r="Q259" s="1218"/>
    </row>
    <row r="260" spans="2:17" s="180" customFormat="1" ht="34.5" hidden="1" customHeight="1" thickBot="1" x14ac:dyDescent="0.3">
      <c r="B260" s="244"/>
      <c r="C260" s="940"/>
      <c r="D260" s="880" t="s">
        <v>1399</v>
      </c>
      <c r="E260" s="1485" t="s">
        <v>1400</v>
      </c>
      <c r="F260" s="196"/>
      <c r="G260" s="1486" t="str">
        <f>IF(E259="Yes","Program","")</f>
        <v/>
      </c>
      <c r="H260" s="188"/>
      <c r="I260" s="1487"/>
      <c r="J260" s="940"/>
      <c r="K260" s="1486" t="str">
        <f>IF(E259="Yes","Corporate Office","")</f>
        <v/>
      </c>
      <c r="L260" s="188"/>
      <c r="M260" s="1488"/>
      <c r="N260" s="940"/>
      <c r="O260" s="940"/>
      <c r="P260" s="636"/>
      <c r="Q260" s="1218"/>
    </row>
    <row r="261" spans="2:17" s="180" customFormat="1" ht="19.5" hidden="1" customHeight="1" thickBot="1" x14ac:dyDescent="0.3">
      <c r="B261" s="244"/>
      <c r="C261" s="940"/>
      <c r="D261" s="7"/>
      <c r="E261" s="621"/>
      <c r="F261" s="895"/>
      <c r="G261" s="895"/>
      <c r="H261" s="940"/>
      <c r="I261" s="188"/>
      <c r="J261" s="188"/>
      <c r="K261" s="188"/>
      <c r="L261" s="940"/>
      <c r="M261" s="940"/>
      <c r="N261" s="940"/>
      <c r="O261" s="940"/>
      <c r="P261" s="636"/>
      <c r="Q261" s="1218"/>
    </row>
    <row r="262" spans="2:17" s="180" customFormat="1" ht="19.5" hidden="1" customHeight="1" thickBot="1" x14ac:dyDescent="0.3">
      <c r="B262" s="244"/>
      <c r="C262" s="940"/>
      <c r="D262" s="887" t="s">
        <v>1401</v>
      </c>
      <c r="E262" s="1489" t="str">
        <f>IF(E259="Yes",IF(C262&lt;&gt;"Yes",Welcome!D41,""),"")</f>
        <v/>
      </c>
      <c r="F262" s="240"/>
      <c r="G262" s="229" t="s">
        <v>1412</v>
      </c>
      <c r="H262" s="188"/>
      <c r="I262" s="1490"/>
      <c r="J262" s="1490"/>
      <c r="K262" s="194" t="s">
        <v>1405</v>
      </c>
      <c r="L262" s="1490"/>
      <c r="M262" s="1490"/>
      <c r="N262" s="188"/>
      <c r="O262" s="6" t="s">
        <v>492</v>
      </c>
      <c r="P262" s="636"/>
      <c r="Q262" s="1218"/>
    </row>
    <row r="263" spans="2:17" s="180" customFormat="1" ht="19.5" hidden="1" customHeight="1" thickBot="1" x14ac:dyDescent="0.3">
      <c r="B263" s="244"/>
      <c r="C263" s="940"/>
      <c r="D263" s="887" t="s">
        <v>1402</v>
      </c>
      <c r="E263" s="1489" t="str">
        <f>IF(E259="Yes",IF(C262&lt;&gt;"Yes",'Required Info to Submit'!F50,""),"")</f>
        <v/>
      </c>
      <c r="F263" s="196"/>
      <c r="G263" s="1462" t="str">
        <f>IF(E259="Yes",IFERROR(K266*K263,""),"")</f>
        <v/>
      </c>
      <c r="H263" s="188"/>
      <c r="I263" s="1491"/>
      <c r="J263" s="1491"/>
      <c r="K263" s="1465" t="str">
        <f>IF(E259="Yes",IFERROR(K255,""),"")</f>
        <v/>
      </c>
      <c r="L263" s="1490"/>
      <c r="M263" s="1490"/>
      <c r="N263" s="188"/>
      <c r="O263" s="970" t="str">
        <f>IF(E259="Yes",IFERROR(ROUND((G263/E266),0)*52,""),"")</f>
        <v/>
      </c>
      <c r="P263" s="636"/>
      <c r="Q263" s="1218"/>
    </row>
    <row r="264" spans="2:17" s="180" customFormat="1" ht="19.5" hidden="1" customHeight="1" thickBot="1" x14ac:dyDescent="0.3">
      <c r="B264" s="244"/>
      <c r="C264" s="940"/>
      <c r="D264" s="940"/>
      <c r="E264" s="940"/>
      <c r="F264" s="196"/>
      <c r="G264" s="1490"/>
      <c r="H264" s="1490"/>
      <c r="I264" s="1490"/>
      <c r="J264" s="1490"/>
      <c r="K264" s="1490"/>
      <c r="L264" s="1490"/>
      <c r="M264" s="1490"/>
      <c r="N264" s="1490"/>
      <c r="O264" s="1490"/>
      <c r="P264" s="636"/>
      <c r="Q264" s="1218"/>
    </row>
    <row r="265" spans="2:17" s="180" customFormat="1" ht="27" hidden="1" customHeight="1" thickBot="1" x14ac:dyDescent="0.3">
      <c r="B265" s="244"/>
      <c r="C265" s="940"/>
      <c r="D265" s="1492" t="s">
        <v>2077</v>
      </c>
      <c r="E265" s="1493" t="str">
        <f>IF(E259="Yes",Welcome!D41,"")</f>
        <v/>
      </c>
      <c r="F265" s="196"/>
      <c r="G265" s="229" t="s">
        <v>2078</v>
      </c>
      <c r="H265" s="1490"/>
      <c r="I265" s="229" t="s">
        <v>2079</v>
      </c>
      <c r="J265" s="1490"/>
      <c r="K265" s="229" t="s">
        <v>1501</v>
      </c>
      <c r="L265" s="1490"/>
      <c r="M265" s="1490"/>
      <c r="N265" s="1490"/>
      <c r="O265" s="1490"/>
      <c r="P265" s="636"/>
      <c r="Q265" s="1218"/>
    </row>
    <row r="266" spans="2:17" s="180" customFormat="1" ht="19.5" hidden="1" customHeight="1" thickBot="1" x14ac:dyDescent="0.3">
      <c r="B266" s="244"/>
      <c r="C266" s="940"/>
      <c r="D266" s="1492" t="s">
        <v>2080</v>
      </c>
      <c r="E266" s="1494" t="str">
        <f>IF(E259="Yes",IFERROR(ROUND((E263-E265)/7,0),""),"")</f>
        <v/>
      </c>
      <c r="F266" s="196"/>
      <c r="G266" s="1495"/>
      <c r="H266" s="1490"/>
      <c r="I266" s="1462" t="str">
        <f>IF(E259="Yes",IFERROR(VLOOKUP(G266,'Customer Inputs'!G39:'Customer Inputs'!P48,8),""),"")</f>
        <v/>
      </c>
      <c r="J266" s="1490"/>
      <c r="K266" s="1092" t="str">
        <f>IF(E259="Yes",IFERROR(ROUND((I266/52),0)*E266,""),"")</f>
        <v/>
      </c>
      <c r="L266" s="1490"/>
      <c r="M266" s="1490"/>
      <c r="N266" s="1490"/>
      <c r="O266" s="1490"/>
      <c r="P266" s="636"/>
      <c r="Q266" s="1218"/>
    </row>
    <row r="267" spans="2:17" s="180" customFormat="1" ht="19.5" hidden="1" customHeight="1" x14ac:dyDescent="0.25">
      <c r="B267" s="246"/>
      <c r="C267" s="202"/>
      <c r="D267" s="496"/>
      <c r="E267" s="202"/>
      <c r="F267" s="202"/>
      <c r="G267" s="702"/>
      <c r="H267" s="202"/>
      <c r="I267" s="202"/>
      <c r="J267" s="202"/>
      <c r="K267" s="1155"/>
      <c r="L267" s="202"/>
      <c r="M267" s="202"/>
      <c r="N267" s="202"/>
      <c r="O267" s="202"/>
      <c r="P267" s="251"/>
      <c r="Q267" s="1218"/>
    </row>
    <row r="268" spans="2:17" s="180" customFormat="1" ht="19.5" hidden="1" customHeight="1" x14ac:dyDescent="0.25">
      <c r="Q268" s="1218"/>
    </row>
    <row r="269" spans="2:17" s="180" customFormat="1" ht="19.5" hidden="1" customHeight="1" thickBot="1" x14ac:dyDescent="0.3">
      <c r="B269" s="249"/>
      <c r="C269" s="184"/>
      <c r="D269" s="1581" t="s">
        <v>1839</v>
      </c>
      <c r="E269" s="1582"/>
      <c r="F269" s="948"/>
      <c r="G269" s="184"/>
      <c r="H269" s="184"/>
      <c r="I269" s="184"/>
      <c r="J269" s="184"/>
      <c r="K269" s="184"/>
      <c r="L269" s="184"/>
      <c r="M269" s="184"/>
      <c r="N269" s="184"/>
      <c r="O269" s="184"/>
      <c r="P269" s="635"/>
      <c r="Q269" s="1218"/>
    </row>
    <row r="270" spans="2:17" s="180" customFormat="1" ht="19.5" hidden="1" customHeight="1" thickBot="1" x14ac:dyDescent="0.3">
      <c r="B270" s="244"/>
      <c r="C270" s="940"/>
      <c r="D270" s="980" t="s">
        <v>526</v>
      </c>
      <c r="E270" s="900" t="s">
        <v>651</v>
      </c>
      <c r="F270" s="240"/>
      <c r="G270" s="194" t="s">
        <v>1396</v>
      </c>
      <c r="H270" s="188"/>
      <c r="I270" s="194" t="s">
        <v>1397</v>
      </c>
      <c r="J270" s="41"/>
      <c r="K270" s="194" t="s">
        <v>1413</v>
      </c>
      <c r="L270" s="188"/>
      <c r="M270" s="194" t="s">
        <v>1398</v>
      </c>
      <c r="N270" s="940"/>
      <c r="O270" s="940"/>
      <c r="P270" s="636"/>
      <c r="Q270" s="1218"/>
    </row>
    <row r="271" spans="2:17" s="180" customFormat="1" ht="36.75" hidden="1" customHeight="1" thickBot="1" x14ac:dyDescent="0.3">
      <c r="B271" s="244"/>
      <c r="C271" s="940"/>
      <c r="D271" s="880" t="s">
        <v>1399</v>
      </c>
      <c r="E271" s="1485" t="s">
        <v>1400</v>
      </c>
      <c r="F271" s="196"/>
      <c r="G271" s="1486" t="str">
        <f>IF(E270="Yes","Program","")</f>
        <v/>
      </c>
      <c r="H271" s="188"/>
      <c r="I271" s="1487"/>
      <c r="J271" s="940"/>
      <c r="K271" s="1486" t="str">
        <f>IF(E270="Yes","Corporate Office","")</f>
        <v/>
      </c>
      <c r="L271" s="188"/>
      <c r="M271" s="1488"/>
      <c r="N271" s="940"/>
      <c r="O271" s="940"/>
      <c r="P271" s="636"/>
      <c r="Q271" s="1218"/>
    </row>
    <row r="272" spans="2:17" s="180" customFormat="1" ht="19.5" hidden="1" customHeight="1" thickBot="1" x14ac:dyDescent="0.3">
      <c r="B272" s="244"/>
      <c r="C272" s="940"/>
      <c r="D272" s="7"/>
      <c r="E272" s="621"/>
      <c r="F272" s="895"/>
      <c r="G272" s="895"/>
      <c r="H272" s="940"/>
      <c r="I272" s="188"/>
      <c r="J272" s="188"/>
      <c r="K272" s="188"/>
      <c r="L272" s="940"/>
      <c r="M272" s="940"/>
      <c r="N272" s="940"/>
      <c r="O272" s="940"/>
      <c r="P272" s="636"/>
      <c r="Q272" s="1218"/>
    </row>
    <row r="273" spans="2:17" s="180" customFormat="1" ht="19.5" hidden="1" customHeight="1" thickBot="1" x14ac:dyDescent="0.3">
      <c r="B273" s="244"/>
      <c r="C273" s="940"/>
      <c r="D273" s="887" t="s">
        <v>1401</v>
      </c>
      <c r="E273" s="1489" t="str">
        <f>IF(E270="Yes",IF(C273&lt;&gt;"Yes",Welcome!D52,""),"")</f>
        <v/>
      </c>
      <c r="F273" s="240"/>
      <c r="G273" s="229" t="s">
        <v>1412</v>
      </c>
      <c r="H273" s="188"/>
      <c r="I273" s="1490"/>
      <c r="J273" s="1490"/>
      <c r="K273" s="194" t="s">
        <v>1405</v>
      </c>
      <c r="L273" s="1490"/>
      <c r="M273" s="1490"/>
      <c r="N273" s="188"/>
      <c r="O273" s="6" t="s">
        <v>492</v>
      </c>
      <c r="P273" s="636"/>
      <c r="Q273" s="1218"/>
    </row>
    <row r="274" spans="2:17" s="180" customFormat="1" ht="19.5" hidden="1" customHeight="1" thickBot="1" x14ac:dyDescent="0.3">
      <c r="B274" s="244"/>
      <c r="C274" s="940"/>
      <c r="D274" s="887" t="s">
        <v>1402</v>
      </c>
      <c r="E274" s="1489" t="str">
        <f>IF(E270="Yes",IF(C273&lt;&gt;"Yes",'Required Info to Submit'!F61,""),"")</f>
        <v/>
      </c>
      <c r="F274" s="196"/>
      <c r="G274" s="1462" t="str">
        <f>IF(E270="Yes",IFERROR(K277*K274,""),"")</f>
        <v/>
      </c>
      <c r="H274" s="188"/>
      <c r="I274" s="1491"/>
      <c r="J274" s="1491"/>
      <c r="K274" s="1465" t="str">
        <f>IF(E270="Yes",IFERROR(K266,""),"")</f>
        <v/>
      </c>
      <c r="L274" s="1490"/>
      <c r="M274" s="1490"/>
      <c r="N274" s="188"/>
      <c r="O274" s="970" t="str">
        <f>IF(E270="Yes",IFERROR(ROUND((G274/E277),0)*52,""),"")</f>
        <v/>
      </c>
      <c r="P274" s="636"/>
      <c r="Q274" s="1218"/>
    </row>
    <row r="275" spans="2:17" s="180" customFormat="1" ht="19.5" hidden="1" customHeight="1" thickBot="1" x14ac:dyDescent="0.3">
      <c r="B275" s="244"/>
      <c r="C275" s="940"/>
      <c r="D275" s="940"/>
      <c r="E275" s="940"/>
      <c r="F275" s="196"/>
      <c r="G275" s="1490"/>
      <c r="H275" s="1490"/>
      <c r="I275" s="1490"/>
      <c r="J275" s="1490"/>
      <c r="K275" s="1490"/>
      <c r="L275" s="1490"/>
      <c r="M275" s="1490"/>
      <c r="N275" s="1490"/>
      <c r="O275" s="1490"/>
      <c r="P275" s="636"/>
      <c r="Q275" s="1218"/>
    </row>
    <row r="276" spans="2:17" s="180" customFormat="1" ht="29.25" hidden="1" customHeight="1" thickBot="1" x14ac:dyDescent="0.3">
      <c r="B276" s="244"/>
      <c r="C276" s="940"/>
      <c r="D276" s="1492" t="s">
        <v>2077</v>
      </c>
      <c r="E276" s="1493" t="str">
        <f>IF(E270="Yes",Welcome!D52,"")</f>
        <v/>
      </c>
      <c r="F276" s="196"/>
      <c r="G276" s="229" t="s">
        <v>2078</v>
      </c>
      <c r="H276" s="1490"/>
      <c r="I276" s="229" t="s">
        <v>2079</v>
      </c>
      <c r="J276" s="1490"/>
      <c r="K276" s="229" t="s">
        <v>1501</v>
      </c>
      <c r="L276" s="1490"/>
      <c r="M276" s="1490"/>
      <c r="N276" s="1490"/>
      <c r="O276" s="1490"/>
      <c r="P276" s="636"/>
      <c r="Q276" s="1218"/>
    </row>
    <row r="277" spans="2:17" s="180" customFormat="1" ht="19.5" hidden="1" customHeight="1" thickBot="1" x14ac:dyDescent="0.3">
      <c r="B277" s="244"/>
      <c r="C277" s="940"/>
      <c r="D277" s="1492" t="s">
        <v>2080</v>
      </c>
      <c r="E277" s="1494" t="str">
        <f>IF(E270="Yes",IFERROR(ROUND((E274-E276)/7,0),""),"")</f>
        <v/>
      </c>
      <c r="F277" s="196"/>
      <c r="G277" s="1495"/>
      <c r="H277" s="1490"/>
      <c r="I277" s="1462" t="str">
        <f>IF(E270="Yes",IFERROR(VLOOKUP(G277,'Customer Inputs'!G50:'Customer Inputs'!P59,8),""),"")</f>
        <v/>
      </c>
      <c r="J277" s="1490"/>
      <c r="K277" s="1092" t="str">
        <f>IF(E270="Yes",IFERROR(ROUND((I277/52),0)*E277,""),"")</f>
        <v/>
      </c>
      <c r="L277" s="1490"/>
      <c r="M277" s="1490"/>
      <c r="N277" s="1490"/>
      <c r="O277" s="1490"/>
      <c r="P277" s="636"/>
      <c r="Q277" s="1218"/>
    </row>
    <row r="278" spans="2:17" s="180" customFormat="1" ht="19.5" hidden="1" customHeight="1" x14ac:dyDescent="0.25">
      <c r="B278" s="246"/>
      <c r="C278" s="202"/>
      <c r="D278" s="496"/>
      <c r="E278" s="202"/>
      <c r="F278" s="202"/>
      <c r="G278" s="702"/>
      <c r="H278" s="202"/>
      <c r="I278" s="202"/>
      <c r="J278" s="202"/>
      <c r="K278" s="1155"/>
      <c r="L278" s="202"/>
      <c r="M278" s="202"/>
      <c r="N278" s="202"/>
      <c r="O278" s="202"/>
      <c r="P278" s="251"/>
      <c r="Q278" s="1218"/>
    </row>
    <row r="279" spans="2:17" s="180" customFormat="1" ht="19.5" hidden="1" customHeight="1" x14ac:dyDescent="0.25">
      <c r="Q279" s="1218"/>
    </row>
    <row r="280" spans="2:17" s="180" customFormat="1" ht="19.5" hidden="1" customHeight="1" thickBot="1" x14ac:dyDescent="0.3">
      <c r="B280" s="249"/>
      <c r="C280" s="184"/>
      <c r="D280" s="1581" t="s">
        <v>1839</v>
      </c>
      <c r="E280" s="1582"/>
      <c r="F280" s="948"/>
      <c r="G280" s="184"/>
      <c r="H280" s="184"/>
      <c r="I280" s="184"/>
      <c r="J280" s="184"/>
      <c r="K280" s="184"/>
      <c r="L280" s="184"/>
      <c r="M280" s="184"/>
      <c r="N280" s="184"/>
      <c r="O280" s="184"/>
      <c r="P280" s="635"/>
      <c r="Q280" s="1218"/>
    </row>
    <row r="281" spans="2:17" s="180" customFormat="1" ht="19.5" hidden="1" customHeight="1" thickBot="1" x14ac:dyDescent="0.3">
      <c r="B281" s="244"/>
      <c r="C281" s="940"/>
      <c r="D281" s="980" t="s">
        <v>526</v>
      </c>
      <c r="E281" s="900" t="s">
        <v>651</v>
      </c>
      <c r="F281" s="240"/>
      <c r="G281" s="194" t="s">
        <v>1396</v>
      </c>
      <c r="H281" s="188"/>
      <c r="I281" s="194" t="s">
        <v>1397</v>
      </c>
      <c r="J281" s="41"/>
      <c r="K281" s="194" t="s">
        <v>1413</v>
      </c>
      <c r="L281" s="188"/>
      <c r="M281" s="194" t="s">
        <v>1398</v>
      </c>
      <c r="N281" s="940"/>
      <c r="O281" s="940"/>
      <c r="P281" s="636"/>
      <c r="Q281" s="1218"/>
    </row>
    <row r="282" spans="2:17" s="180" customFormat="1" ht="31.5" hidden="1" customHeight="1" thickBot="1" x14ac:dyDescent="0.3">
      <c r="B282" s="244"/>
      <c r="C282" s="940"/>
      <c r="D282" s="880" t="s">
        <v>1399</v>
      </c>
      <c r="E282" s="1485" t="s">
        <v>1400</v>
      </c>
      <c r="F282" s="196"/>
      <c r="G282" s="1486" t="str">
        <f>IF(E281="Yes","Program","")</f>
        <v/>
      </c>
      <c r="H282" s="188"/>
      <c r="I282" s="1487"/>
      <c r="J282" s="940"/>
      <c r="K282" s="1486" t="str">
        <f>IF(E281="Yes","Corporate Office","")</f>
        <v/>
      </c>
      <c r="L282" s="188"/>
      <c r="M282" s="1488"/>
      <c r="N282" s="940"/>
      <c r="O282" s="940"/>
      <c r="P282" s="636"/>
      <c r="Q282" s="1218"/>
    </row>
    <row r="283" spans="2:17" s="180" customFormat="1" ht="19.5" hidden="1" customHeight="1" thickBot="1" x14ac:dyDescent="0.3">
      <c r="B283" s="244"/>
      <c r="C283" s="940"/>
      <c r="D283" s="7"/>
      <c r="E283" s="621"/>
      <c r="F283" s="895"/>
      <c r="G283" s="895"/>
      <c r="H283" s="940"/>
      <c r="I283" s="188"/>
      <c r="J283" s="188"/>
      <c r="K283" s="188"/>
      <c r="L283" s="940"/>
      <c r="M283" s="940"/>
      <c r="N283" s="940"/>
      <c r="O283" s="940"/>
      <c r="P283" s="636"/>
      <c r="Q283" s="1218"/>
    </row>
    <row r="284" spans="2:17" s="180" customFormat="1" ht="19.5" hidden="1" customHeight="1" thickBot="1" x14ac:dyDescent="0.3">
      <c r="B284" s="244"/>
      <c r="C284" s="940"/>
      <c r="D284" s="887" t="s">
        <v>1401</v>
      </c>
      <c r="E284" s="1489" t="str">
        <f>IF(E281="Yes",IF(C284&lt;&gt;"Yes",Welcome!D63,""),"")</f>
        <v/>
      </c>
      <c r="F284" s="240"/>
      <c r="G284" s="229" t="s">
        <v>1412</v>
      </c>
      <c r="H284" s="188"/>
      <c r="I284" s="1490"/>
      <c r="J284" s="1490"/>
      <c r="K284" s="194" t="s">
        <v>1405</v>
      </c>
      <c r="L284" s="1490"/>
      <c r="M284" s="1490"/>
      <c r="N284" s="188"/>
      <c r="O284" s="6" t="s">
        <v>492</v>
      </c>
      <c r="P284" s="636"/>
      <c r="Q284" s="1218"/>
    </row>
    <row r="285" spans="2:17" s="180" customFormat="1" ht="19.5" hidden="1" customHeight="1" thickBot="1" x14ac:dyDescent="0.3">
      <c r="B285" s="244"/>
      <c r="C285" s="940"/>
      <c r="D285" s="887" t="s">
        <v>1402</v>
      </c>
      <c r="E285" s="1489" t="str">
        <f>IF(E281="Yes",IF(C284&lt;&gt;"Yes",'Required Info to Submit'!F72,""),"")</f>
        <v/>
      </c>
      <c r="F285" s="196"/>
      <c r="G285" s="1462" t="str">
        <f>IF(E281="Yes",IFERROR(K288*K285,""),"")</f>
        <v/>
      </c>
      <c r="H285" s="188"/>
      <c r="I285" s="1491"/>
      <c r="J285" s="1491"/>
      <c r="K285" s="1465" t="str">
        <f>IF(E281="Yes",IFERROR(K277,""),"")</f>
        <v/>
      </c>
      <c r="L285" s="1490"/>
      <c r="M285" s="1490"/>
      <c r="N285" s="188"/>
      <c r="O285" s="970" t="str">
        <f>IF(E281="Yes",IFERROR(ROUND((G285/E288),0)*52,""),"")</f>
        <v/>
      </c>
      <c r="P285" s="636"/>
      <c r="Q285" s="1218"/>
    </row>
    <row r="286" spans="2:17" s="180" customFormat="1" ht="19.5" hidden="1" customHeight="1" thickBot="1" x14ac:dyDescent="0.3">
      <c r="B286" s="244"/>
      <c r="C286" s="940"/>
      <c r="D286" s="940"/>
      <c r="E286" s="940"/>
      <c r="F286" s="196"/>
      <c r="G286" s="1490"/>
      <c r="H286" s="1490"/>
      <c r="I286" s="1490"/>
      <c r="J286" s="1490"/>
      <c r="K286" s="1490"/>
      <c r="L286" s="1490"/>
      <c r="M286" s="1490"/>
      <c r="N286" s="1490"/>
      <c r="O286" s="1490"/>
      <c r="P286" s="636"/>
      <c r="Q286" s="1218"/>
    </row>
    <row r="287" spans="2:17" s="180" customFormat="1" ht="30.75" hidden="1" customHeight="1" thickBot="1" x14ac:dyDescent="0.3">
      <c r="B287" s="244"/>
      <c r="C287" s="940"/>
      <c r="D287" s="1492" t="s">
        <v>2077</v>
      </c>
      <c r="E287" s="1493" t="str">
        <f>IF(E281="Yes",Welcome!D63,"")</f>
        <v/>
      </c>
      <c r="F287" s="196"/>
      <c r="G287" s="229" t="s">
        <v>2078</v>
      </c>
      <c r="H287" s="1490"/>
      <c r="I287" s="229" t="s">
        <v>2079</v>
      </c>
      <c r="J287" s="1490"/>
      <c r="K287" s="229" t="s">
        <v>1501</v>
      </c>
      <c r="L287" s="1490"/>
      <c r="M287" s="1490"/>
      <c r="N287" s="1490"/>
      <c r="O287" s="1490"/>
      <c r="P287" s="636"/>
      <c r="Q287" s="1218"/>
    </row>
    <row r="288" spans="2:17" s="180" customFormat="1" ht="19.5" hidden="1" customHeight="1" thickBot="1" x14ac:dyDescent="0.3">
      <c r="B288" s="244"/>
      <c r="C288" s="940"/>
      <c r="D288" s="1492" t="s">
        <v>2080</v>
      </c>
      <c r="E288" s="1494" t="str">
        <f>IF(E281="Yes",IFERROR(ROUND((E285-E287)/7,0),""),"")</f>
        <v/>
      </c>
      <c r="F288" s="196"/>
      <c r="G288" s="1495"/>
      <c r="H288" s="1490"/>
      <c r="I288" s="1462" t="str">
        <f>IF(E281="Yes",IFERROR(VLOOKUP(G288,'Customer Inputs'!G61:'Customer Inputs'!P70,8),""),"")</f>
        <v/>
      </c>
      <c r="J288" s="1490"/>
      <c r="K288" s="1092" t="str">
        <f>IF(E281="Yes",IFERROR(ROUND((I288/52),0)*E288,""),"")</f>
        <v/>
      </c>
      <c r="L288" s="1490"/>
      <c r="M288" s="1490"/>
      <c r="N288" s="1490"/>
      <c r="O288" s="1490"/>
      <c r="P288" s="636"/>
      <c r="Q288" s="1218"/>
    </row>
    <row r="289" spans="2:17" s="180" customFormat="1" ht="19.5" hidden="1" customHeight="1" x14ac:dyDescent="0.25">
      <c r="B289" s="246"/>
      <c r="C289" s="202"/>
      <c r="D289" s="496"/>
      <c r="E289" s="202"/>
      <c r="F289" s="202"/>
      <c r="G289" s="702"/>
      <c r="H289" s="202"/>
      <c r="I289" s="202"/>
      <c r="J289" s="202"/>
      <c r="K289" s="1155"/>
      <c r="L289" s="202"/>
      <c r="M289" s="202"/>
      <c r="N289" s="202"/>
      <c r="O289" s="202"/>
      <c r="P289" s="251"/>
      <c r="Q289" s="1218"/>
    </row>
    <row r="290" spans="2:17" s="180" customFormat="1" ht="19.5" hidden="1" customHeight="1" x14ac:dyDescent="0.25">
      <c r="Q290" s="1218"/>
    </row>
    <row r="291" spans="2:17" s="180" customFormat="1" ht="19.5" hidden="1" customHeight="1" thickBot="1" x14ac:dyDescent="0.3">
      <c r="B291" s="249"/>
      <c r="C291" s="184"/>
      <c r="D291" s="1581" t="s">
        <v>1839</v>
      </c>
      <c r="E291" s="1582"/>
      <c r="F291" s="948"/>
      <c r="G291" s="184"/>
      <c r="H291" s="184"/>
      <c r="I291" s="184"/>
      <c r="J291" s="184"/>
      <c r="K291" s="184"/>
      <c r="L291" s="184"/>
      <c r="M291" s="184"/>
      <c r="N291" s="184"/>
      <c r="O291" s="184"/>
      <c r="P291" s="635"/>
      <c r="Q291" s="1218"/>
    </row>
    <row r="292" spans="2:17" s="180" customFormat="1" ht="19.5" hidden="1" customHeight="1" thickBot="1" x14ac:dyDescent="0.3">
      <c r="B292" s="244"/>
      <c r="C292" s="940"/>
      <c r="D292" s="980" t="s">
        <v>526</v>
      </c>
      <c r="E292" s="900" t="s">
        <v>651</v>
      </c>
      <c r="F292" s="240"/>
      <c r="G292" s="194" t="s">
        <v>1396</v>
      </c>
      <c r="H292" s="188"/>
      <c r="I292" s="194" t="s">
        <v>1397</v>
      </c>
      <c r="J292" s="41"/>
      <c r="K292" s="194" t="s">
        <v>1413</v>
      </c>
      <c r="L292" s="188"/>
      <c r="M292" s="194" t="s">
        <v>1398</v>
      </c>
      <c r="N292" s="940"/>
      <c r="O292" s="940"/>
      <c r="P292" s="636"/>
      <c r="Q292" s="1218"/>
    </row>
    <row r="293" spans="2:17" s="180" customFormat="1" ht="31.5" hidden="1" customHeight="1" thickBot="1" x14ac:dyDescent="0.3">
      <c r="B293" s="244"/>
      <c r="C293" s="940"/>
      <c r="D293" s="880" t="s">
        <v>1399</v>
      </c>
      <c r="E293" s="1485" t="s">
        <v>1400</v>
      </c>
      <c r="F293" s="196"/>
      <c r="G293" s="1486" t="str">
        <f>IF(E292="Yes","Program","")</f>
        <v/>
      </c>
      <c r="H293" s="188"/>
      <c r="I293" s="1487"/>
      <c r="J293" s="940"/>
      <c r="K293" s="1486" t="str">
        <f>IF(E292="Yes","Corporate Office","")</f>
        <v/>
      </c>
      <c r="L293" s="188"/>
      <c r="M293" s="1488"/>
      <c r="N293" s="940"/>
      <c r="O293" s="940"/>
      <c r="P293" s="636"/>
      <c r="Q293" s="1218"/>
    </row>
    <row r="294" spans="2:17" s="180" customFormat="1" ht="19.5" hidden="1" customHeight="1" thickBot="1" x14ac:dyDescent="0.3">
      <c r="B294" s="244"/>
      <c r="C294" s="940"/>
      <c r="D294" s="7"/>
      <c r="E294" s="621"/>
      <c r="F294" s="895"/>
      <c r="G294" s="895"/>
      <c r="H294" s="940"/>
      <c r="I294" s="188"/>
      <c r="J294" s="188"/>
      <c r="K294" s="188"/>
      <c r="L294" s="940"/>
      <c r="M294" s="940"/>
      <c r="N294" s="940"/>
      <c r="O294" s="940"/>
      <c r="P294" s="636"/>
      <c r="Q294" s="1218"/>
    </row>
    <row r="295" spans="2:17" s="180" customFormat="1" ht="19.5" hidden="1" customHeight="1" thickBot="1" x14ac:dyDescent="0.3">
      <c r="B295" s="244"/>
      <c r="C295" s="940"/>
      <c r="D295" s="887" t="s">
        <v>1401</v>
      </c>
      <c r="E295" s="1489" t="str">
        <f>IF(E292="Yes",IF(C295&lt;&gt;"Yes",Welcome!D74,""),"")</f>
        <v/>
      </c>
      <c r="F295" s="240"/>
      <c r="G295" s="229" t="s">
        <v>1412</v>
      </c>
      <c r="H295" s="188"/>
      <c r="I295" s="1490"/>
      <c r="J295" s="1490"/>
      <c r="K295" s="194" t="s">
        <v>1405</v>
      </c>
      <c r="L295" s="1490"/>
      <c r="M295" s="1490"/>
      <c r="N295" s="188"/>
      <c r="O295" s="6" t="s">
        <v>492</v>
      </c>
      <c r="P295" s="636"/>
      <c r="Q295" s="1218"/>
    </row>
    <row r="296" spans="2:17" s="180" customFormat="1" ht="19.5" hidden="1" customHeight="1" thickBot="1" x14ac:dyDescent="0.3">
      <c r="B296" s="244"/>
      <c r="C296" s="940"/>
      <c r="D296" s="887" t="s">
        <v>1402</v>
      </c>
      <c r="E296" s="1489" t="str">
        <f>IF(E292="Yes",IF(C295&lt;&gt;"Yes",'Required Info to Submit'!F83,""),"")</f>
        <v/>
      </c>
      <c r="F296" s="196"/>
      <c r="G296" s="1462" t="str">
        <f>IF(E292="Yes",IFERROR(K299*K296,""),"")</f>
        <v/>
      </c>
      <c r="H296" s="188"/>
      <c r="I296" s="1491"/>
      <c r="J296" s="1491"/>
      <c r="K296" s="1465" t="str">
        <f>IF(E292="Yes",IFERROR(K288,""),"")</f>
        <v/>
      </c>
      <c r="L296" s="1490"/>
      <c r="M296" s="1490"/>
      <c r="N296" s="188"/>
      <c r="O296" s="970" t="str">
        <f>IF(E292="Yes",IFERROR(ROUND((G296/E299),0)*52,""),"")</f>
        <v/>
      </c>
      <c r="P296" s="636"/>
      <c r="Q296" s="1218"/>
    </row>
    <row r="297" spans="2:17" s="180" customFormat="1" ht="19.5" hidden="1" customHeight="1" thickBot="1" x14ac:dyDescent="0.3">
      <c r="B297" s="244"/>
      <c r="C297" s="940"/>
      <c r="D297" s="940"/>
      <c r="E297" s="940"/>
      <c r="F297" s="196"/>
      <c r="G297" s="1490"/>
      <c r="H297" s="1490"/>
      <c r="I297" s="1490"/>
      <c r="J297" s="1490"/>
      <c r="K297" s="1490"/>
      <c r="L297" s="1490"/>
      <c r="M297" s="1490"/>
      <c r="N297" s="1490"/>
      <c r="O297" s="1490"/>
      <c r="P297" s="636"/>
      <c r="Q297" s="1218"/>
    </row>
    <row r="298" spans="2:17" s="180" customFormat="1" ht="31.5" hidden="1" customHeight="1" thickBot="1" x14ac:dyDescent="0.3">
      <c r="B298" s="244"/>
      <c r="C298" s="940"/>
      <c r="D298" s="1492" t="s">
        <v>2077</v>
      </c>
      <c r="E298" s="1493" t="str">
        <f>IF(E292="Yes",Welcome!D74,"")</f>
        <v/>
      </c>
      <c r="F298" s="196"/>
      <c r="G298" s="229" t="s">
        <v>2078</v>
      </c>
      <c r="H298" s="1490"/>
      <c r="I298" s="229" t="s">
        <v>2079</v>
      </c>
      <c r="J298" s="1490"/>
      <c r="K298" s="229" t="s">
        <v>1501</v>
      </c>
      <c r="L298" s="1490"/>
      <c r="M298" s="1490"/>
      <c r="N298" s="1490"/>
      <c r="O298" s="1490"/>
      <c r="P298" s="636"/>
      <c r="Q298" s="1218"/>
    </row>
    <row r="299" spans="2:17" s="180" customFormat="1" ht="19.5" hidden="1" customHeight="1" thickBot="1" x14ac:dyDescent="0.3">
      <c r="B299" s="244"/>
      <c r="C299" s="940"/>
      <c r="D299" s="1492" t="s">
        <v>2080</v>
      </c>
      <c r="E299" s="1494" t="str">
        <f>IF(E292="Yes",IFERROR(ROUND((E296-E298)/7,0),""),"")</f>
        <v/>
      </c>
      <c r="F299" s="196"/>
      <c r="G299" s="1495"/>
      <c r="H299" s="1490"/>
      <c r="I299" s="1462" t="str">
        <f>IF(E292="Yes",IFERROR(VLOOKUP(G299,'Customer Inputs'!G72:'Customer Inputs'!P81,8),""),"")</f>
        <v/>
      </c>
      <c r="J299" s="1490"/>
      <c r="K299" s="1092" t="str">
        <f>IF(E292="Yes",IFERROR(ROUND((I299/52),0)*E299,""),"")</f>
        <v/>
      </c>
      <c r="L299" s="1490"/>
      <c r="M299" s="1490"/>
      <c r="N299" s="1490"/>
      <c r="O299" s="1490"/>
      <c r="P299" s="636"/>
      <c r="Q299" s="1218"/>
    </row>
    <row r="300" spans="2:17" s="180" customFormat="1" ht="19.5" hidden="1" customHeight="1" x14ac:dyDescent="0.25">
      <c r="B300" s="246"/>
      <c r="C300" s="202"/>
      <c r="D300" s="496"/>
      <c r="E300" s="202"/>
      <c r="F300" s="202"/>
      <c r="G300" s="702"/>
      <c r="H300" s="202"/>
      <c r="I300" s="202"/>
      <c r="J300" s="202"/>
      <c r="K300" s="1155"/>
      <c r="L300" s="202"/>
      <c r="M300" s="202"/>
      <c r="N300" s="202"/>
      <c r="O300" s="202"/>
      <c r="P300" s="251"/>
      <c r="Q300" s="1218"/>
    </row>
    <row r="301" spans="2:17" s="180" customFormat="1" ht="19.5" hidden="1" customHeight="1" x14ac:dyDescent="0.25">
      <c r="Q301" s="1218"/>
    </row>
    <row r="302" spans="2:17" s="180" customFormat="1" ht="19.5" hidden="1" customHeight="1" thickBot="1" x14ac:dyDescent="0.3">
      <c r="B302" s="249"/>
      <c r="C302" s="184"/>
      <c r="D302" s="1581" t="s">
        <v>1839</v>
      </c>
      <c r="E302" s="1582"/>
      <c r="F302" s="948"/>
      <c r="G302" s="184"/>
      <c r="H302" s="184"/>
      <c r="I302" s="184"/>
      <c r="J302" s="184"/>
      <c r="K302" s="184"/>
      <c r="L302" s="184"/>
      <c r="M302" s="184"/>
      <c r="N302" s="184"/>
      <c r="O302" s="184"/>
      <c r="P302" s="635"/>
      <c r="Q302" s="1218"/>
    </row>
    <row r="303" spans="2:17" s="180" customFormat="1" ht="19.5" hidden="1" customHeight="1" thickBot="1" x14ac:dyDescent="0.3">
      <c r="B303" s="244"/>
      <c r="C303" s="940"/>
      <c r="D303" s="980" t="s">
        <v>526</v>
      </c>
      <c r="E303" s="900" t="s">
        <v>651</v>
      </c>
      <c r="F303" s="240"/>
      <c r="G303" s="194" t="s">
        <v>1396</v>
      </c>
      <c r="H303" s="188"/>
      <c r="I303" s="194" t="s">
        <v>1397</v>
      </c>
      <c r="J303" s="41"/>
      <c r="K303" s="194" t="s">
        <v>1413</v>
      </c>
      <c r="L303" s="188"/>
      <c r="M303" s="194" t="s">
        <v>1398</v>
      </c>
      <c r="N303" s="940"/>
      <c r="O303" s="940"/>
      <c r="P303" s="636"/>
      <c r="Q303" s="1218"/>
    </row>
    <row r="304" spans="2:17" s="180" customFormat="1" ht="33.75" hidden="1" customHeight="1" thickBot="1" x14ac:dyDescent="0.3">
      <c r="B304" s="244"/>
      <c r="C304" s="940"/>
      <c r="D304" s="880" t="s">
        <v>1399</v>
      </c>
      <c r="E304" s="1485" t="s">
        <v>1400</v>
      </c>
      <c r="F304" s="196"/>
      <c r="G304" s="1486" t="str">
        <f>IF(E303="Yes","Program","")</f>
        <v/>
      </c>
      <c r="H304" s="188"/>
      <c r="I304" s="1487"/>
      <c r="J304" s="940"/>
      <c r="K304" s="1486" t="str">
        <f>IF(E303="Yes","Corporate Office","")</f>
        <v/>
      </c>
      <c r="L304" s="188"/>
      <c r="M304" s="1488"/>
      <c r="N304" s="940"/>
      <c r="O304" s="940"/>
      <c r="P304" s="636"/>
      <c r="Q304" s="1218"/>
    </row>
    <row r="305" spans="2:17" s="180" customFormat="1" ht="19.5" hidden="1" customHeight="1" thickBot="1" x14ac:dyDescent="0.3">
      <c r="B305" s="244"/>
      <c r="C305" s="940"/>
      <c r="D305" s="7"/>
      <c r="E305" s="621"/>
      <c r="F305" s="895"/>
      <c r="G305" s="895"/>
      <c r="H305" s="940"/>
      <c r="I305" s="188"/>
      <c r="J305" s="188"/>
      <c r="K305" s="188"/>
      <c r="L305" s="940"/>
      <c r="M305" s="940"/>
      <c r="N305" s="940"/>
      <c r="O305" s="940"/>
      <c r="P305" s="636"/>
      <c r="Q305" s="1218"/>
    </row>
    <row r="306" spans="2:17" s="180" customFormat="1" ht="19.5" hidden="1" customHeight="1" thickBot="1" x14ac:dyDescent="0.3">
      <c r="B306" s="244"/>
      <c r="C306" s="940"/>
      <c r="D306" s="887" t="s">
        <v>1401</v>
      </c>
      <c r="E306" s="1489" t="str">
        <f>IF(E303="Yes",IF(C306&lt;&gt;"Yes",Welcome!D85,""),"")</f>
        <v/>
      </c>
      <c r="F306" s="240"/>
      <c r="G306" s="229" t="s">
        <v>1412</v>
      </c>
      <c r="H306" s="188"/>
      <c r="I306" s="1490"/>
      <c r="J306" s="1490"/>
      <c r="K306" s="194" t="s">
        <v>1405</v>
      </c>
      <c r="L306" s="1490"/>
      <c r="M306" s="1490"/>
      <c r="N306" s="188"/>
      <c r="O306" s="6" t="s">
        <v>492</v>
      </c>
      <c r="P306" s="636"/>
      <c r="Q306" s="1218"/>
    </row>
    <row r="307" spans="2:17" s="180" customFormat="1" ht="19.5" hidden="1" customHeight="1" thickBot="1" x14ac:dyDescent="0.3">
      <c r="B307" s="244"/>
      <c r="C307" s="940"/>
      <c r="D307" s="887" t="s">
        <v>1402</v>
      </c>
      <c r="E307" s="1489" t="str">
        <f>IF(E303="Yes",IF(C306&lt;&gt;"Yes",'Required Info to Submit'!F94,""),"")</f>
        <v/>
      </c>
      <c r="F307" s="196"/>
      <c r="G307" s="1462" t="str">
        <f>IF(E303="Yes",IFERROR(K310*K307,""),"")</f>
        <v/>
      </c>
      <c r="H307" s="188"/>
      <c r="I307" s="1491"/>
      <c r="J307" s="1491"/>
      <c r="K307" s="1465" t="str">
        <f>IF(E303="Yes",IFERROR(K299,""),"")</f>
        <v/>
      </c>
      <c r="L307" s="1490"/>
      <c r="M307" s="1490"/>
      <c r="N307" s="188"/>
      <c r="O307" s="970" t="str">
        <f>IF(E303="Yes",IFERROR(ROUND((G307/E310),0)*52,""),"")</f>
        <v/>
      </c>
      <c r="P307" s="636"/>
      <c r="Q307" s="1218"/>
    </row>
    <row r="308" spans="2:17" s="180" customFormat="1" ht="19.5" hidden="1" customHeight="1" thickBot="1" x14ac:dyDescent="0.3">
      <c r="B308" s="244"/>
      <c r="C308" s="940"/>
      <c r="D308" s="940"/>
      <c r="E308" s="940"/>
      <c r="F308" s="196"/>
      <c r="G308" s="1490"/>
      <c r="H308" s="1490"/>
      <c r="I308" s="1490"/>
      <c r="J308" s="1490"/>
      <c r="K308" s="1490"/>
      <c r="L308" s="1490"/>
      <c r="M308" s="1490"/>
      <c r="N308" s="1490"/>
      <c r="O308" s="1490"/>
      <c r="P308" s="636"/>
      <c r="Q308" s="1218"/>
    </row>
    <row r="309" spans="2:17" s="180" customFormat="1" ht="29.25" hidden="1" customHeight="1" thickBot="1" x14ac:dyDescent="0.3">
      <c r="B309" s="244"/>
      <c r="C309" s="940"/>
      <c r="D309" s="1492" t="s">
        <v>2077</v>
      </c>
      <c r="E309" s="1493" t="str">
        <f>IF(E303="Yes",Welcome!D85,"")</f>
        <v/>
      </c>
      <c r="F309" s="196"/>
      <c r="G309" s="229" t="s">
        <v>2078</v>
      </c>
      <c r="H309" s="1490"/>
      <c r="I309" s="229" t="s">
        <v>2079</v>
      </c>
      <c r="J309" s="1490"/>
      <c r="K309" s="229" t="s">
        <v>1501</v>
      </c>
      <c r="L309" s="1490"/>
      <c r="M309" s="1490"/>
      <c r="N309" s="1490"/>
      <c r="O309" s="1490"/>
      <c r="P309" s="636"/>
      <c r="Q309" s="1218"/>
    </row>
    <row r="310" spans="2:17" s="180" customFormat="1" ht="19.5" hidden="1" customHeight="1" thickBot="1" x14ac:dyDescent="0.3">
      <c r="B310" s="244"/>
      <c r="C310" s="940"/>
      <c r="D310" s="1492" t="s">
        <v>2080</v>
      </c>
      <c r="E310" s="1494" t="str">
        <f>IF(E303="Yes",IFERROR(ROUND((E307-E309)/7,0),""),"")</f>
        <v/>
      </c>
      <c r="F310" s="196"/>
      <c r="G310" s="1495"/>
      <c r="H310" s="1490"/>
      <c r="I310" s="1462" t="str">
        <f>IF(E303="Yes",IFERROR(VLOOKUP(G310,'Customer Inputs'!G83:'Customer Inputs'!P92,8),""),"")</f>
        <v/>
      </c>
      <c r="J310" s="1490"/>
      <c r="K310" s="1092" t="str">
        <f>IF(E303="Yes",IFERROR(ROUND((I310/52),0)*E310,""),"")</f>
        <v/>
      </c>
      <c r="L310" s="1490"/>
      <c r="M310" s="1490"/>
      <c r="N310" s="1490"/>
      <c r="O310" s="1490"/>
      <c r="P310" s="636"/>
      <c r="Q310" s="1218"/>
    </row>
    <row r="311" spans="2:17" s="180" customFormat="1" ht="19.5" hidden="1" customHeight="1" x14ac:dyDescent="0.25">
      <c r="B311" s="246"/>
      <c r="C311" s="202"/>
      <c r="D311" s="496"/>
      <c r="E311" s="202"/>
      <c r="F311" s="202"/>
      <c r="G311" s="702"/>
      <c r="H311" s="202"/>
      <c r="I311" s="202"/>
      <c r="J311" s="202"/>
      <c r="K311" s="1155"/>
      <c r="L311" s="202"/>
      <c r="M311" s="202"/>
      <c r="N311" s="202"/>
      <c r="O311" s="202"/>
      <c r="P311" s="251"/>
      <c r="Q311" s="1218"/>
    </row>
    <row r="312" spans="2:17" s="180" customFormat="1" ht="19.5" hidden="1" customHeight="1" x14ac:dyDescent="0.25">
      <c r="Q312" s="1218"/>
    </row>
    <row r="313" spans="2:17" s="180" customFormat="1" ht="19.5" hidden="1" customHeight="1" thickBot="1" x14ac:dyDescent="0.3">
      <c r="B313" s="249"/>
      <c r="C313" s="184"/>
      <c r="D313" s="1581" t="s">
        <v>1839</v>
      </c>
      <c r="E313" s="1582"/>
      <c r="F313" s="948"/>
      <c r="G313" s="184"/>
      <c r="H313" s="184"/>
      <c r="I313" s="184"/>
      <c r="J313" s="184"/>
      <c r="K313" s="184"/>
      <c r="L313" s="184"/>
      <c r="M313" s="184"/>
      <c r="N313" s="184"/>
      <c r="O313" s="184"/>
      <c r="P313" s="635"/>
      <c r="Q313" s="1218"/>
    </row>
    <row r="314" spans="2:17" s="180" customFormat="1" ht="19.5" hidden="1" customHeight="1" thickBot="1" x14ac:dyDescent="0.3">
      <c r="B314" s="244"/>
      <c r="C314" s="940"/>
      <c r="D314" s="980" t="s">
        <v>526</v>
      </c>
      <c r="E314" s="900" t="s">
        <v>651</v>
      </c>
      <c r="F314" s="240"/>
      <c r="G314" s="194" t="s">
        <v>1396</v>
      </c>
      <c r="H314" s="188"/>
      <c r="I314" s="194" t="s">
        <v>1397</v>
      </c>
      <c r="J314" s="41"/>
      <c r="K314" s="194" t="s">
        <v>1413</v>
      </c>
      <c r="L314" s="188"/>
      <c r="M314" s="194" t="s">
        <v>1398</v>
      </c>
      <c r="N314" s="940"/>
      <c r="O314" s="940"/>
      <c r="P314" s="636"/>
      <c r="Q314" s="1218"/>
    </row>
    <row r="315" spans="2:17" s="180" customFormat="1" ht="29.25" hidden="1" customHeight="1" thickBot="1" x14ac:dyDescent="0.3">
      <c r="B315" s="244"/>
      <c r="C315" s="940"/>
      <c r="D315" s="880" t="s">
        <v>1399</v>
      </c>
      <c r="E315" s="1485" t="s">
        <v>1400</v>
      </c>
      <c r="F315" s="196"/>
      <c r="G315" s="1486" t="str">
        <f>IF(E314="Yes","Program","")</f>
        <v/>
      </c>
      <c r="H315" s="188"/>
      <c r="I315" s="1487"/>
      <c r="J315" s="940"/>
      <c r="K315" s="1486" t="str">
        <f>IF(E314="Yes","Corporate Office","")</f>
        <v/>
      </c>
      <c r="L315" s="188"/>
      <c r="M315" s="1488"/>
      <c r="N315" s="940"/>
      <c r="O315" s="940"/>
      <c r="P315" s="636"/>
      <c r="Q315" s="1218"/>
    </row>
    <row r="316" spans="2:17" s="180" customFormat="1" ht="19.5" hidden="1" customHeight="1" thickBot="1" x14ac:dyDescent="0.3">
      <c r="B316" s="244"/>
      <c r="C316" s="940"/>
      <c r="D316" s="7"/>
      <c r="E316" s="621"/>
      <c r="F316" s="895"/>
      <c r="G316" s="895"/>
      <c r="H316" s="940"/>
      <c r="I316" s="188"/>
      <c r="J316" s="188"/>
      <c r="K316" s="188"/>
      <c r="L316" s="940"/>
      <c r="M316" s="940"/>
      <c r="N316" s="940"/>
      <c r="O316" s="940"/>
      <c r="P316" s="636"/>
      <c r="Q316" s="1218"/>
    </row>
    <row r="317" spans="2:17" s="180" customFormat="1" ht="19.5" hidden="1" customHeight="1" thickBot="1" x14ac:dyDescent="0.3">
      <c r="B317" s="244"/>
      <c r="C317" s="940"/>
      <c r="D317" s="887" t="s">
        <v>1401</v>
      </c>
      <c r="E317" s="1489" t="str">
        <f>IF(E314="Yes",IF(C317&lt;&gt;"Yes",Welcome!D96,""),"")</f>
        <v/>
      </c>
      <c r="F317" s="240"/>
      <c r="G317" s="229" t="s">
        <v>1412</v>
      </c>
      <c r="H317" s="188"/>
      <c r="I317" s="1490"/>
      <c r="J317" s="1490"/>
      <c r="K317" s="194" t="s">
        <v>1405</v>
      </c>
      <c r="L317" s="1490"/>
      <c r="M317" s="1490"/>
      <c r="N317" s="188"/>
      <c r="O317" s="6" t="s">
        <v>492</v>
      </c>
      <c r="P317" s="636"/>
      <c r="Q317" s="1218"/>
    </row>
    <row r="318" spans="2:17" s="180" customFormat="1" ht="19.5" hidden="1" customHeight="1" thickBot="1" x14ac:dyDescent="0.3">
      <c r="B318" s="244"/>
      <c r="C318" s="940"/>
      <c r="D318" s="887" t="s">
        <v>1402</v>
      </c>
      <c r="E318" s="1489" t="str">
        <f>IF(E314="Yes",IF(C317&lt;&gt;"Yes",'Required Info to Submit'!F105,""),"")</f>
        <v/>
      </c>
      <c r="F318" s="196"/>
      <c r="G318" s="1462" t="str">
        <f>IF(E314="Yes",IFERROR(K321*K318,""),"")</f>
        <v/>
      </c>
      <c r="H318" s="188"/>
      <c r="I318" s="1491"/>
      <c r="J318" s="1491"/>
      <c r="K318" s="1465" t="str">
        <f>IF(E314="Yes",IFERROR(K310,""),"")</f>
        <v/>
      </c>
      <c r="L318" s="1490"/>
      <c r="M318" s="1490"/>
      <c r="N318" s="188"/>
      <c r="O318" s="970" t="str">
        <f>IF(E314="Yes",IFERROR(ROUND((G318/E321),0)*52,""),"")</f>
        <v/>
      </c>
      <c r="P318" s="636"/>
      <c r="Q318" s="1218"/>
    </row>
    <row r="319" spans="2:17" s="180" customFormat="1" ht="19.5" hidden="1" customHeight="1" thickBot="1" x14ac:dyDescent="0.3">
      <c r="B319" s="244"/>
      <c r="C319" s="940"/>
      <c r="D319" s="940"/>
      <c r="E319" s="940"/>
      <c r="F319" s="196"/>
      <c r="G319" s="1490"/>
      <c r="H319" s="1490"/>
      <c r="I319" s="1490"/>
      <c r="J319" s="1490"/>
      <c r="K319" s="1490"/>
      <c r="L319" s="1490"/>
      <c r="M319" s="1490"/>
      <c r="N319" s="1490"/>
      <c r="O319" s="1490"/>
      <c r="P319" s="636"/>
      <c r="Q319" s="1218"/>
    </row>
    <row r="320" spans="2:17" s="180" customFormat="1" ht="27" hidden="1" customHeight="1" thickBot="1" x14ac:dyDescent="0.3">
      <c r="B320" s="244"/>
      <c r="C320" s="940"/>
      <c r="D320" s="1492" t="s">
        <v>2077</v>
      </c>
      <c r="E320" s="1493" t="str">
        <f>IF(E314="Yes",Welcome!D96,"")</f>
        <v/>
      </c>
      <c r="F320" s="196"/>
      <c r="G320" s="229" t="s">
        <v>2078</v>
      </c>
      <c r="H320" s="1490"/>
      <c r="I320" s="229" t="s">
        <v>2079</v>
      </c>
      <c r="J320" s="1490"/>
      <c r="K320" s="229" t="s">
        <v>1501</v>
      </c>
      <c r="L320" s="1490"/>
      <c r="M320" s="1490"/>
      <c r="N320" s="1490"/>
      <c r="O320" s="1490"/>
      <c r="P320" s="636"/>
      <c r="Q320" s="1218"/>
    </row>
    <row r="321" spans="2:20" s="180" customFormat="1" ht="19.5" hidden="1" customHeight="1" thickBot="1" x14ac:dyDescent="0.3">
      <c r="B321" s="244"/>
      <c r="C321" s="940"/>
      <c r="D321" s="1492" t="s">
        <v>2080</v>
      </c>
      <c r="E321" s="1494" t="str">
        <f>IF(E314="Yes",IFERROR(ROUND((E318-E320)/7,0),""),"")</f>
        <v/>
      </c>
      <c r="F321" s="196"/>
      <c r="G321" s="1495"/>
      <c r="H321" s="1490"/>
      <c r="I321" s="1462" t="str">
        <f>IF(E314="Yes",IFERROR(VLOOKUP(G321,'Customer Inputs'!G94:'Customer Inputs'!P103,8),""),"")</f>
        <v/>
      </c>
      <c r="J321" s="1490"/>
      <c r="K321" s="1092" t="str">
        <f>IF(E314="Yes",IFERROR(ROUND((I321/52),0)*E321,""),"")</f>
        <v/>
      </c>
      <c r="L321" s="1490"/>
      <c r="M321" s="1490"/>
      <c r="N321" s="1490"/>
      <c r="O321" s="1490"/>
      <c r="P321" s="636"/>
      <c r="Q321" s="1218"/>
    </row>
    <row r="322" spans="2:20" s="180" customFormat="1" ht="19.5" hidden="1" customHeight="1" x14ac:dyDescent="0.25">
      <c r="B322" s="246"/>
      <c r="C322" s="202"/>
      <c r="D322" s="496"/>
      <c r="E322" s="202"/>
      <c r="F322" s="202"/>
      <c r="G322" s="702"/>
      <c r="H322" s="202"/>
      <c r="I322" s="202"/>
      <c r="J322" s="202"/>
      <c r="K322" s="1155"/>
      <c r="L322" s="202"/>
      <c r="M322" s="202"/>
      <c r="N322" s="202"/>
      <c r="O322" s="202"/>
      <c r="P322" s="251"/>
      <c r="Q322" s="1218"/>
    </row>
    <row r="323" spans="2:20" s="180" customFormat="1" ht="19.5" hidden="1" customHeight="1" x14ac:dyDescent="0.25">
      <c r="Q323" s="1218"/>
    </row>
    <row r="324" spans="2:20" s="180" customFormat="1" ht="19.5" hidden="1" customHeight="1" thickBot="1" x14ac:dyDescent="0.3">
      <c r="B324" s="249"/>
      <c r="C324" s="184"/>
      <c r="D324" s="1581" t="s">
        <v>1839</v>
      </c>
      <c r="E324" s="1582"/>
      <c r="F324" s="948"/>
      <c r="G324" s="184"/>
      <c r="H324" s="184"/>
      <c r="I324" s="184"/>
      <c r="J324" s="184"/>
      <c r="K324" s="184"/>
      <c r="L324" s="184"/>
      <c r="M324" s="184"/>
      <c r="N324" s="184"/>
      <c r="O324" s="184"/>
      <c r="P324" s="635"/>
      <c r="Q324" s="1218"/>
    </row>
    <row r="325" spans="2:20" s="180" customFormat="1" ht="19.5" hidden="1" customHeight="1" thickBot="1" x14ac:dyDescent="0.3">
      <c r="B325" s="244"/>
      <c r="C325" s="940"/>
      <c r="D325" s="980" t="s">
        <v>526</v>
      </c>
      <c r="E325" s="900" t="s">
        <v>651</v>
      </c>
      <c r="F325" s="240"/>
      <c r="G325" s="194" t="s">
        <v>1396</v>
      </c>
      <c r="H325" s="188"/>
      <c r="I325" s="194" t="s">
        <v>1397</v>
      </c>
      <c r="J325" s="41"/>
      <c r="K325" s="194" t="s">
        <v>1413</v>
      </c>
      <c r="L325" s="188"/>
      <c r="M325" s="194" t="s">
        <v>1398</v>
      </c>
      <c r="N325" s="940"/>
      <c r="O325" s="940"/>
      <c r="P325" s="636"/>
      <c r="Q325" s="1218"/>
    </row>
    <row r="326" spans="2:20" s="180" customFormat="1" ht="34.5" hidden="1" customHeight="1" thickBot="1" x14ac:dyDescent="0.3">
      <c r="B326" s="244"/>
      <c r="C326" s="940"/>
      <c r="D326" s="880" t="s">
        <v>1399</v>
      </c>
      <c r="E326" s="1485" t="s">
        <v>1400</v>
      </c>
      <c r="F326" s="196"/>
      <c r="G326" s="1486" t="str">
        <f>IF(E325="Yes","Program","")</f>
        <v/>
      </c>
      <c r="H326" s="188"/>
      <c r="I326" s="1487"/>
      <c r="J326" s="940"/>
      <c r="K326" s="1486" t="str">
        <f>IF(E325="Yes","Corporate Office","")</f>
        <v/>
      </c>
      <c r="L326" s="188"/>
      <c r="M326" s="1488"/>
      <c r="N326" s="940"/>
      <c r="O326" s="940"/>
      <c r="P326" s="636"/>
      <c r="Q326" s="1218"/>
    </row>
    <row r="327" spans="2:20" s="180" customFormat="1" ht="19.5" hidden="1" customHeight="1" thickBot="1" x14ac:dyDescent="0.3">
      <c r="B327" s="244"/>
      <c r="C327" s="940"/>
      <c r="D327" s="7"/>
      <c r="E327" s="621"/>
      <c r="F327" s="895"/>
      <c r="G327" s="895"/>
      <c r="H327" s="940"/>
      <c r="I327" s="188"/>
      <c r="J327" s="188"/>
      <c r="K327" s="188"/>
      <c r="L327" s="940"/>
      <c r="M327" s="940"/>
      <c r="N327" s="940"/>
      <c r="O327" s="940"/>
      <c r="P327" s="636"/>
      <c r="Q327" s="1218"/>
    </row>
    <row r="328" spans="2:20" s="180" customFormat="1" ht="19.5" hidden="1" customHeight="1" thickBot="1" x14ac:dyDescent="0.3">
      <c r="B328" s="244"/>
      <c r="C328" s="940"/>
      <c r="D328" s="887" t="s">
        <v>1401</v>
      </c>
      <c r="E328" s="1489" t="str">
        <f>IF(E325="Yes",IF(C328&lt;&gt;"Yes",Welcome!D107,""),"")</f>
        <v/>
      </c>
      <c r="F328" s="240"/>
      <c r="G328" s="229" t="s">
        <v>1412</v>
      </c>
      <c r="H328" s="188"/>
      <c r="I328" s="1490"/>
      <c r="J328" s="1490"/>
      <c r="K328" s="194" t="s">
        <v>1405</v>
      </c>
      <c r="L328" s="1490"/>
      <c r="M328" s="1490"/>
      <c r="N328" s="188"/>
      <c r="O328" s="6" t="s">
        <v>492</v>
      </c>
      <c r="P328" s="636"/>
      <c r="Q328" s="1218"/>
    </row>
    <row r="329" spans="2:20" s="180" customFormat="1" ht="19.5" hidden="1" customHeight="1" thickBot="1" x14ac:dyDescent="0.3">
      <c r="B329" s="244"/>
      <c r="C329" s="940"/>
      <c r="D329" s="887" t="s">
        <v>1402</v>
      </c>
      <c r="E329" s="1489" t="str">
        <f>IF(E325="Yes",IF(C328&lt;&gt;"Yes",'Required Info to Submit'!F116,""),"")</f>
        <v/>
      </c>
      <c r="F329" s="196"/>
      <c r="G329" s="1462" t="str">
        <f>IF(E325="Yes",IFERROR(K332*K329,""),"")</f>
        <v/>
      </c>
      <c r="H329" s="188"/>
      <c r="I329" s="1491"/>
      <c r="J329" s="1491"/>
      <c r="K329" s="1465" t="str">
        <f>IF(E325="Yes",IFERROR(K321,""),"")</f>
        <v/>
      </c>
      <c r="L329" s="1490"/>
      <c r="M329" s="1490"/>
      <c r="N329" s="188"/>
      <c r="O329" s="970" t="str">
        <f>IF(E325="Yes",IFERROR(ROUND((G329/E332),0)*52,""),"")</f>
        <v/>
      </c>
      <c r="P329" s="636"/>
      <c r="Q329" s="1218"/>
    </row>
    <row r="330" spans="2:20" s="180" customFormat="1" ht="19.5" hidden="1" customHeight="1" thickBot="1" x14ac:dyDescent="0.3">
      <c r="B330" s="244"/>
      <c r="C330" s="940"/>
      <c r="D330" s="940"/>
      <c r="E330" s="940"/>
      <c r="F330" s="196"/>
      <c r="G330" s="1490"/>
      <c r="H330" s="1490"/>
      <c r="I330" s="1490"/>
      <c r="J330" s="1490"/>
      <c r="K330" s="1490"/>
      <c r="L330" s="1490"/>
      <c r="M330" s="1490"/>
      <c r="N330" s="1490"/>
      <c r="O330" s="1490"/>
      <c r="P330" s="636"/>
      <c r="Q330" s="1218"/>
    </row>
    <row r="331" spans="2:20" s="180" customFormat="1" ht="27" hidden="1" customHeight="1" thickBot="1" x14ac:dyDescent="0.3">
      <c r="B331" s="244"/>
      <c r="C331" s="940"/>
      <c r="D331" s="1492" t="s">
        <v>2077</v>
      </c>
      <c r="E331" s="1493" t="str">
        <f>IF(E325="Yes",Welcome!D107,"")</f>
        <v/>
      </c>
      <c r="F331" s="196"/>
      <c r="G331" s="229" t="s">
        <v>2078</v>
      </c>
      <c r="H331" s="1490"/>
      <c r="I331" s="229" t="s">
        <v>2079</v>
      </c>
      <c r="J331" s="1490"/>
      <c r="K331" s="229" t="s">
        <v>1501</v>
      </c>
      <c r="L331" s="1490"/>
      <c r="M331" s="1490"/>
      <c r="N331" s="1490"/>
      <c r="O331" s="1490"/>
      <c r="P331" s="636"/>
      <c r="Q331" s="1218"/>
    </row>
    <row r="332" spans="2:20" s="180" customFormat="1" ht="19.5" hidden="1" customHeight="1" thickBot="1" x14ac:dyDescent="0.3">
      <c r="B332" s="244"/>
      <c r="C332" s="940"/>
      <c r="D332" s="1492" t="s">
        <v>2080</v>
      </c>
      <c r="E332" s="1494" t="str">
        <f>IF(E325="Yes",IFERROR(ROUND((E329-E331)/7,0),""),"")</f>
        <v/>
      </c>
      <c r="F332" s="196"/>
      <c r="G332" s="1495"/>
      <c r="H332" s="1490"/>
      <c r="I332" s="1462" t="str">
        <f>IF(E325="Yes",IFERROR(VLOOKUP(G332,'Customer Inputs'!G105:'Customer Inputs'!P114,8),""),"")</f>
        <v/>
      </c>
      <c r="J332" s="1490"/>
      <c r="K332" s="1092" t="str">
        <f>IF(E325="Yes",IFERROR(ROUND((I332/52),0)*E332,""),"")</f>
        <v/>
      </c>
      <c r="L332" s="1490"/>
      <c r="M332" s="1490"/>
      <c r="N332" s="1490"/>
      <c r="O332" s="1490"/>
      <c r="P332" s="636"/>
      <c r="Q332" s="1218"/>
    </row>
    <row r="333" spans="2:20" s="180" customFormat="1" ht="19.5" hidden="1" customHeight="1" x14ac:dyDescent="0.25">
      <c r="B333" s="246"/>
      <c r="C333" s="202"/>
      <c r="D333" s="496"/>
      <c r="E333" s="202"/>
      <c r="F333" s="202"/>
      <c r="G333" s="702"/>
      <c r="H333" s="202"/>
      <c r="I333" s="202"/>
      <c r="J333" s="202"/>
      <c r="K333" s="1155"/>
      <c r="L333" s="202"/>
      <c r="M333" s="202"/>
      <c r="N333" s="202"/>
      <c r="O333" s="202"/>
      <c r="P333" s="251"/>
      <c r="Q333" s="1218"/>
    </row>
    <row r="334" spans="2:20" s="180" customFormat="1" ht="19.5" hidden="1" customHeight="1" x14ac:dyDescent="0.25">
      <c r="Q334" s="1218"/>
    </row>
    <row r="335" spans="2:20" s="180" customFormat="1" ht="19.5" customHeight="1" thickBot="1" x14ac:dyDescent="0.3">
      <c r="Q335" s="1218"/>
    </row>
    <row r="336" spans="2:20" s="176" customFormat="1" ht="24" customHeight="1" thickBot="1" x14ac:dyDescent="0.3">
      <c r="C336" s="180"/>
      <c r="D336" s="470"/>
      <c r="E336" s="180"/>
      <c r="F336" s="180"/>
      <c r="G336" s="180"/>
      <c r="H336" s="180"/>
      <c r="I336" s="180"/>
      <c r="J336" s="180"/>
      <c r="K336" s="180"/>
      <c r="L336" s="180"/>
      <c r="M336" s="898"/>
      <c r="N336" s="254" t="s">
        <v>1746</v>
      </c>
      <c r="O336" s="1149"/>
      <c r="P336" s="180"/>
      <c r="Q336" s="252"/>
      <c r="R336" s="180"/>
      <c r="S336" s="180"/>
      <c r="T336" s="180"/>
    </row>
    <row r="337" spans="1:22" s="176" customFormat="1" ht="24" customHeight="1" thickBot="1" x14ac:dyDescent="0.3">
      <c r="C337" s="180"/>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D338" s="988">
        <f>'Customer Inputs'!$K$17</f>
        <v>0</v>
      </c>
      <c r="M338" s="899"/>
      <c r="N338" s="254" t="s">
        <v>226</v>
      </c>
      <c r="O338" s="1129">
        <f>IFERROR(O19+O33+O47+O61+O75+O89+O103+O115+O123+O131+O139+O147+O155+O163+O171+O179+O187+O198+O210+O336,0)</f>
        <v>0</v>
      </c>
      <c r="Q338" s="255"/>
      <c r="T338" s="329"/>
      <c r="U338" s="329"/>
      <c r="V338" s="330"/>
    </row>
    <row r="339" spans="1:22" s="253" customFormat="1" ht="27.6" customHeight="1" thickBot="1" x14ac:dyDescent="0.35">
      <c r="D339" s="989"/>
      <c r="L339" s="254"/>
      <c r="M339" s="615" t="str">
        <f>IF(M341&gt;0,"**Select Payment Method Above**","")</f>
        <v/>
      </c>
      <c r="N339" s="615"/>
      <c r="O339" s="615"/>
      <c r="P339" s="414" t="s">
        <v>202</v>
      </c>
      <c r="Q339" s="255"/>
    </row>
    <row r="340" spans="1:22" ht="24" customHeight="1" thickBot="1" x14ac:dyDescent="0.3">
      <c r="N340" s="254" t="s">
        <v>227</v>
      </c>
      <c r="O340" s="1130">
        <f>IFERROR($O$338/'PIM Model'!$G$31,0)</f>
        <v>0</v>
      </c>
      <c r="P340" s="415">
        <v>0.05</v>
      </c>
      <c r="Q340" s="138"/>
      <c r="R340" s="871"/>
    </row>
    <row r="341" spans="1:22" ht="24" customHeight="1" thickBot="1" x14ac:dyDescent="0.3">
      <c r="A341" s="257"/>
      <c r="B341" s="257"/>
      <c r="C341" s="257"/>
      <c r="D341" s="990"/>
      <c r="E341" s="257"/>
      <c r="F341" s="257"/>
      <c r="G341" s="257"/>
      <c r="H341" s="257"/>
      <c r="I341" s="257"/>
      <c r="J341" s="257"/>
      <c r="K341" s="257"/>
      <c r="L341" s="586"/>
      <c r="M341" s="616">
        <f>COUNTIF($S$14:$S$223,"X")</f>
        <v>0</v>
      </c>
      <c r="N341" s="616"/>
      <c r="O341" s="616"/>
      <c r="P341" s="587"/>
      <c r="Q341" s="258"/>
      <c r="R341" s="871"/>
    </row>
    <row r="342" spans="1:22" ht="48.6" customHeight="1" x14ac:dyDescent="0.25">
      <c r="C342" s="1588"/>
      <c r="D342" s="1588"/>
      <c r="I342" s="585"/>
      <c r="L342" s="872"/>
      <c r="M342" s="1589"/>
      <c r="N342" s="1589"/>
      <c r="O342" s="1589"/>
      <c r="P342" s="1589"/>
      <c r="R342" s="871"/>
    </row>
  </sheetData>
  <sheetProtection algorithmName="SHA-512" hashValue="axr3zAvS2lMfU2bZHHqgYwNFVdDfZnocR6z8IEe6FEL0zEVX/OhV8VaQmNHUIhOCaecjg6WBBEOceV+D+Fsnsg==" saltValue="NqrMtLAmNgss2FMrvlid+Q=="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2:D342"/>
    <mergeCell ref="M342:P342"/>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40">
    <cfRule type="expression" dxfId="1065" priority="787">
      <formula>$M$341&gt;0</formula>
    </cfRule>
    <cfRule type="cellIs" dxfId="1064" priority="790" operator="lessThan">
      <formula>$P$340</formula>
    </cfRule>
    <cfRule type="cellIs" dxfId="1063" priority="791" operator="greaterThan">
      <formula>$P$340</formula>
    </cfRule>
  </conditionalFormatting>
  <conditionalFormatting sqref="I14">
    <cfRule type="expression" dxfId="1062" priority="306">
      <formula>AND($C$13="Yes",$C$16="No")</formula>
    </cfRule>
    <cfRule type="expression" dxfId="1061" priority="789">
      <formula>AND($C$13&lt;&gt;"Yes",$E$14&lt;&gt;"Please Select")</formula>
    </cfRule>
  </conditionalFormatting>
  <conditionalFormatting sqref="G61 K61">
    <cfRule type="expression" dxfId="1060" priority="788">
      <formula>AND($C$55&lt;&gt;"Yes",OR($E56="DS Tiered Average Invoice Dollar Qualifier",$E56="DS Threshold Average Invoice Dollar Qualifier"))</formula>
    </cfRule>
  </conditionalFormatting>
  <conditionalFormatting sqref="G14">
    <cfRule type="expression" dxfId="1059" priority="307">
      <formula>AND($C$13="Yes",$C$16="No")</formula>
    </cfRule>
    <cfRule type="expression" dxfId="1058" priority="785">
      <formula>AND($C$13&lt;&gt;"Yes",$E$14&lt;&gt;"Please Select")</formula>
    </cfRule>
  </conditionalFormatting>
  <conditionalFormatting sqref="G17">
    <cfRule type="expression" dxfId="1057" priority="778">
      <formula>$E$15="YES"</formula>
    </cfRule>
  </conditionalFormatting>
  <conditionalFormatting sqref="G31">
    <cfRule type="expression" dxfId="1056" priority="777">
      <formula>$E$15="YES"</formula>
    </cfRule>
  </conditionalFormatting>
  <conditionalFormatting sqref="G45">
    <cfRule type="expression" dxfId="1055" priority="775">
      <formula>$E$15="YES"</formula>
    </cfRule>
  </conditionalFormatting>
  <conditionalFormatting sqref="E14">
    <cfRule type="expression" dxfId="1054" priority="773">
      <formula>OR(AND($C$13&lt;&gt;"Yes",$E$13="No"),$C$13="Yes")</formula>
    </cfRule>
    <cfRule type="expression" dxfId="1053" priority="774">
      <formula>AND($E$13="Yes",$C$13&lt;&gt;"Yes")</formula>
    </cfRule>
  </conditionalFormatting>
  <conditionalFormatting sqref="E28">
    <cfRule type="expression" dxfId="1052" priority="771">
      <formula>OR($C$27="Yes",AND($E$27="No",$C$27&lt;&gt;"Yes"))</formula>
    </cfRule>
    <cfRule type="expression" dxfId="1051" priority="772">
      <formula>AND($C$27&lt;&gt;"Yes",$E$27="Yes")</formula>
    </cfRule>
  </conditionalFormatting>
  <conditionalFormatting sqref="E42">
    <cfRule type="expression" dxfId="1050" priority="769">
      <formula>OR($C$41="Yes",AND($E$41="No",$C$41&lt;&gt;"Yes"))</formula>
    </cfRule>
    <cfRule type="expression" dxfId="1049" priority="770">
      <formula>AND($E$41="Yes",$C$41&lt;&gt;"Yes")</formula>
    </cfRule>
  </conditionalFormatting>
  <conditionalFormatting sqref="M14">
    <cfRule type="expression" dxfId="1048" priority="766">
      <formula>OR(AND($K$14&lt;&gt;"Corporate Office",$C$13&lt;&gt;"Yes"),AND($C$13="Yes",$C$16&lt;&gt;"No"))</formula>
    </cfRule>
    <cfRule type="expression" dxfId="1047" priority="767">
      <formula>OR(AND($K$14="Corporate Office",$I$14="Check",$C$13&lt;&gt;"Yes"),AND($C$13="Yes",$C$16="No"))</formula>
    </cfRule>
    <cfRule type="expression" dxfId="1046" priority="768">
      <formula>AND($I$14="Credit Memo",$K$14="Corporate Office",$C$13&lt;&gt;"Yes")</formula>
    </cfRule>
  </conditionalFormatting>
  <conditionalFormatting sqref="M28">
    <cfRule type="expression" dxfId="1045" priority="763">
      <formula>OR(AND($K$28&lt;&gt;"Corporate Office",$C$27&lt;&gt;"Yes"),$C$27="Yes")</formula>
    </cfRule>
    <cfRule type="expression" dxfId="1044" priority="764">
      <formula>OR(AND($K$28="Corporate Office",$I$28="Check",$C$27&lt;&gt;"Yes"),AND($C$27="Yes",$C$30="No"))</formula>
    </cfRule>
    <cfRule type="expression" dxfId="1043" priority="765">
      <formula>AND($I$28="Credit Memo",$K$28="Corporate Office",$C$27&lt;&gt;"Yes")</formula>
    </cfRule>
  </conditionalFormatting>
  <conditionalFormatting sqref="M42">
    <cfRule type="expression" dxfId="1042" priority="760">
      <formula>OR(AND($C$41&lt;&gt;"Yes",$K$42&lt;&gt;"Corporate Office"),AND($C$41="Yes",$C$44&lt;&gt;"No"))</formula>
    </cfRule>
    <cfRule type="expression" dxfId="1041" priority="761">
      <formula>OR(AND($K$42="Corporate Office",$I$42="Check",$C$41&lt;&gt;"Yes"),AND($C$41="Yes",$C$44="No"))</formula>
    </cfRule>
    <cfRule type="expression" dxfId="1040" priority="762">
      <formula>AND($I$42="Credit Memo",$K$42="Corporate Office",$C$41&lt;&gt;"Yes")</formula>
    </cfRule>
  </conditionalFormatting>
  <conditionalFormatting sqref="E56">
    <cfRule type="expression" dxfId="1039" priority="757">
      <formula>AND($C$55&lt;&gt;"Yes",$E$55="Yes")</formula>
    </cfRule>
    <cfRule type="expression" dxfId="1038" priority="758">
      <formula>OR(AND($C$55&lt;&gt;"Yes",$E$55="No"),$C$55="Yes")</formula>
    </cfRule>
  </conditionalFormatting>
  <conditionalFormatting sqref="E70">
    <cfRule type="expression" dxfId="1037" priority="755">
      <formula>AND($C$69&lt;&gt;"Yes",$E$69="Yes")</formula>
    </cfRule>
    <cfRule type="expression" dxfId="1036" priority="756">
      <formula>OR(AND($E$69="No",$C$69&lt;&gt;"Yes"),$C$69="Yes")</formula>
    </cfRule>
  </conditionalFormatting>
  <conditionalFormatting sqref="K14">
    <cfRule type="expression" dxfId="1035" priority="305">
      <formula>AND($C$13="Yes",$C$16="No")</formula>
    </cfRule>
    <cfRule type="expression" dxfId="1034" priority="754">
      <formula>AND($E14&lt;&gt;"Please Select",$I14&lt;&gt;"Check",$C$13&lt;&gt;"Yes")</formula>
    </cfRule>
  </conditionalFormatting>
  <conditionalFormatting sqref="I56">
    <cfRule type="expression" dxfId="1033" priority="317">
      <formula>AND($C$55="Yes",$C$58="No")</formula>
    </cfRule>
    <cfRule type="expression" dxfId="1032" priority="753">
      <formula>AND($C$55&lt;&gt;"Yes",$E$56&lt;&gt;"Please Select")</formula>
    </cfRule>
  </conditionalFormatting>
  <conditionalFormatting sqref="G56">
    <cfRule type="expression" dxfId="1031" priority="318">
      <formula>AND($C$55="Yes",$C$58="No")</formula>
    </cfRule>
    <cfRule type="expression" dxfId="1030" priority="751">
      <formula>AND($C$55&lt;&gt;"Yes",$E$56&lt;&gt;"Please Select")</formula>
    </cfRule>
  </conditionalFormatting>
  <conditionalFormatting sqref="I28">
    <cfRule type="expression" dxfId="1029" priority="300">
      <formula>AND($C$27="Yes",$C$30="No")</formula>
    </cfRule>
    <cfRule type="expression" dxfId="1028" priority="750">
      <formula>AND($C$27&lt;&gt;"Yes",$E$28&lt;&gt;"Please Select")</formula>
    </cfRule>
  </conditionalFormatting>
  <conditionalFormatting sqref="G28">
    <cfRule type="expression" dxfId="1027" priority="301">
      <formula>AND($C$27="Yes",$C$30="No")</formula>
    </cfRule>
    <cfRule type="expression" dxfId="1026" priority="749">
      <formula>AND($C$27&lt;&gt;"Yes",$E$28&lt;&gt;"Please Select")</formula>
    </cfRule>
  </conditionalFormatting>
  <conditionalFormatting sqref="I42">
    <cfRule type="expression" dxfId="1025" priority="297">
      <formula>AND($C$41="Yes",$C$44="No")</formula>
    </cfRule>
    <cfRule type="expression" dxfId="1024" priority="747">
      <formula>AND($C$41&lt;&gt;"Yes",$E$42&lt;&gt;"Please Select")</formula>
    </cfRule>
  </conditionalFormatting>
  <conditionalFormatting sqref="G42">
    <cfRule type="expression" dxfId="1023" priority="298">
      <formula>AND($C$41="Yes",$C$44="No")</formula>
    </cfRule>
    <cfRule type="expression" dxfId="1022" priority="746">
      <formula>AND($C$41&lt;&gt;"Yes",$E$42&lt;&gt;"Please Select")</formula>
    </cfRule>
  </conditionalFormatting>
  <conditionalFormatting sqref="I70">
    <cfRule type="expression" dxfId="1021" priority="312">
      <formula>AND($C$69="Yes",$C$72="No")</formula>
    </cfRule>
    <cfRule type="expression" dxfId="1020" priority="744">
      <formula>AND($C$69&lt;&gt;"Yes",$E$70&lt;&gt;"Please Select")</formula>
    </cfRule>
  </conditionalFormatting>
  <conditionalFormatting sqref="M56">
    <cfRule type="expression" dxfId="1019" priority="734">
      <formula>OR(AND($K$56&lt;&gt;"Corporate Office",$C$55&lt;&gt;"Yes"),AND($C$55="Yes",$C$58&lt;&gt;"No"))</formula>
    </cfRule>
    <cfRule type="expression" dxfId="1018" priority="735">
      <formula>OR(AND($K$56="Corporate Office",$I$56="Check",$C$55&lt;&gt;"Yes"),AND($C$55="Yes",$C$58="No"))</formula>
    </cfRule>
    <cfRule type="expression" dxfId="1017" priority="736">
      <formula>AND($I$56="Credit Memo",$K$56="Corporate Office",$C$55&lt;&gt;"Yes")</formula>
    </cfRule>
  </conditionalFormatting>
  <conditionalFormatting sqref="M70">
    <cfRule type="expression" dxfId="1016" priority="731">
      <formula>OR(AND($K$70&lt;&gt;"Corporate Office",$C$69&lt;&gt;"Yes"),AND($C$69="Yes",$C$72&lt;&gt;"No"))</formula>
    </cfRule>
    <cfRule type="expression" dxfId="1015" priority="732">
      <formula>OR(AND($K$70="Corporate Office",$I$70="Check",$C$69&lt;&gt;"Yes"),AND($C$69="Yes",$C$72="No"))</formula>
    </cfRule>
    <cfRule type="expression" dxfId="1014" priority="733">
      <formula>AND($I$70="Credit Memo",$K$70="Corporate Office",$C$69&lt;&gt;"Yes")</formula>
    </cfRule>
  </conditionalFormatting>
  <conditionalFormatting sqref="I84">
    <cfRule type="expression" dxfId="1013" priority="331">
      <formula>AND($C$83="Yes",$C$86="No")</formula>
    </cfRule>
    <cfRule type="expression" dxfId="1012" priority="730">
      <formula>AND($C$83&lt;&gt;"Yes",$E$84&lt;&gt;"Please Select")</formula>
    </cfRule>
  </conditionalFormatting>
  <conditionalFormatting sqref="G84">
    <cfRule type="expression" dxfId="1011" priority="332">
      <formula>AND($C$83="Yes",$C$86="No")</formula>
    </cfRule>
    <cfRule type="expression" dxfId="1010" priority="728">
      <formula>AND($C$83&lt;&gt;"Yes",$E$84&lt;&gt;"Please Select")</formula>
    </cfRule>
  </conditionalFormatting>
  <conditionalFormatting sqref="M84">
    <cfRule type="expression" dxfId="1009" priority="725">
      <formula>OR(AND($K$84&lt;&gt;"Corporate Office",$C$83&lt;&gt;"Yes"),AND($C$83="Yes",$C$86&lt;&gt;"No"))</formula>
    </cfRule>
    <cfRule type="expression" dxfId="1008" priority="726">
      <formula>OR(AND($K$84="Corporate Office",$I$84="Check",$C$83&lt;&gt;"Yes"),AND($C$83="Yes",$C$86="No"))</formula>
    </cfRule>
    <cfRule type="expression" dxfId="1007" priority="727">
      <formula>AND($I$84="Credit Memo",$K$84="Corporate Office",$C$83&lt;&gt;"Yes")</formula>
    </cfRule>
  </conditionalFormatting>
  <conditionalFormatting sqref="I98">
    <cfRule type="expression" dxfId="1006" priority="324">
      <formula>AND($C$97="Yes",$C$100="No")</formula>
    </cfRule>
    <cfRule type="expression" dxfId="1005" priority="724">
      <formula>AND($C$97&lt;&gt;"Yes",$E$98&lt;&gt;"Please Select")</formula>
    </cfRule>
  </conditionalFormatting>
  <conditionalFormatting sqref="G98">
    <cfRule type="expression" dxfId="1004" priority="325">
      <formula>AND($C$97="Yes",$C$100="No")</formula>
    </cfRule>
    <cfRule type="expression" dxfId="1003" priority="722">
      <formula>AND($C$97&lt;&gt;"Yes",$E$98&lt;&gt;"Please Select")</formula>
    </cfRule>
  </conditionalFormatting>
  <conditionalFormatting sqref="M98">
    <cfRule type="expression" dxfId="1002" priority="719">
      <formula>OR(AND($K$98&lt;&gt;"Corporate Office",$C$97&lt;&gt;"Yes"),AND($C$97="Yes",$C$100&lt;&gt;"No"))</formula>
    </cfRule>
    <cfRule type="expression" dxfId="1001" priority="720">
      <formula>OR(AND($K$98="Corporate Office",$I$98="Check",$C$97&lt;&gt;"Yes"),AND($C$97="Yes",$C$100="No"))</formula>
    </cfRule>
    <cfRule type="expression" dxfId="1000" priority="721">
      <formula>AND($I$98="Credit Memo",$K$98="Corporate Office",$C$97&lt;&gt;"Yes")</formula>
    </cfRule>
  </conditionalFormatting>
  <conditionalFormatting sqref="E98">
    <cfRule type="expression" dxfId="999" priority="717">
      <formula>AND($C$97&lt;&gt;"Yes",$E$97="Yes")</formula>
    </cfRule>
    <cfRule type="expression" dxfId="998" priority="718">
      <formula>OR(AND($C$97&lt;&gt;"Yes",$E$97="No"),$C$97="Yes")</formula>
    </cfRule>
  </conditionalFormatting>
  <conditionalFormatting sqref="E84">
    <cfRule type="expression" dxfId="997" priority="715">
      <formula>AND($C$83&lt;&gt;"Yes",$E$83="Yes")</formula>
    </cfRule>
    <cfRule type="expression" dxfId="996" priority="716">
      <formula>OR($C$83="Yes",AND($C$83&lt;&gt;"Yes",$E$83="No"))</formula>
    </cfRule>
  </conditionalFormatting>
  <conditionalFormatting sqref="G33">
    <cfRule type="expression" dxfId="995" priority="295">
      <formula>AND(OR($E28="Volume Incentive Threshold",$E28="Volume Incentive Tiered",$C$27="Yes",$C$30="No"))</formula>
    </cfRule>
    <cfRule type="expression" dxfId="994" priority="714">
      <formula>AND(OR($E28="Volume Incentive Threshold",$E28="Volume Incentive Tiered"),$C$27&lt;&gt;"Yes")</formula>
    </cfRule>
  </conditionalFormatting>
  <conditionalFormatting sqref="G47">
    <cfRule type="expression" dxfId="993" priority="290">
      <formula>AND(OR($E42="Volume Incentive Threshold",$E42="Volume Incentive Tiered"),$C$41="Yes",$C$44="No")</formula>
    </cfRule>
    <cfRule type="expression" dxfId="992" priority="712">
      <formula>AND(OR($E42="Volume Incentive Threshold",$E42="Volume Incentive Tiered"),$C$41&lt;&gt;"Yes")</formula>
    </cfRule>
  </conditionalFormatting>
  <conditionalFormatting sqref="G19">
    <cfRule type="expression" dxfId="991" priority="304">
      <formula>AND(OR($E14="Volume Incentive Threshold",$E14="Volume Incentive Tiered"),$C$13="Yes",$C$16="No")</formula>
    </cfRule>
    <cfRule type="expression" dxfId="990" priority="710">
      <formula>AND($C$13&lt;&gt;"Yes",OR($E14="Volume Incentive Threshold",$E14="Volume Incentive Tiered"))</formula>
    </cfRule>
  </conditionalFormatting>
  <conditionalFormatting sqref="G20 K20">
    <cfRule type="expression" dxfId="989" priority="302">
      <formula>AND($C$13="Yes",$C$16="No",$E14="Volume Incentive Tiered")</formula>
    </cfRule>
    <cfRule type="expression" dxfId="988" priority="709">
      <formula>AND($C$13&lt;&gt;"Yes",$E14="Volume Incentive Tiered")</formula>
    </cfRule>
  </conditionalFormatting>
  <conditionalFormatting sqref="G62 K62">
    <cfRule type="expression" dxfId="987" priority="314">
      <formula>AND($E56="DS Tiered Average Invoice Dollar Qualifier",$C$55="Yes",$C$58="No")</formula>
    </cfRule>
    <cfRule type="expression" dxfId="986" priority="708">
      <formula>AND($C$55&lt;&gt;"Yes",$E56="DS Tiered Average Invoice Dollar Qualifier")</formula>
    </cfRule>
  </conditionalFormatting>
  <conditionalFormatting sqref="G89">
    <cfRule type="expression" dxfId="985" priority="329">
      <formula>AND($C$8="Yes",$C$86="No",OR($E$84="EB Threshold Percent Qualifier",$E$84="EB Tiered Percent Qualifier"))</formula>
    </cfRule>
    <cfRule type="expression" dxfId="984" priority="705">
      <formula>AND(OR($E$84="EB Threshold Percent Qualifier",$E$84="EB Tiered Percent Qualifier"),$C$83&lt;&gt;"Yes")</formula>
    </cfRule>
  </conditionalFormatting>
  <conditionalFormatting sqref="K90">
    <cfRule type="expression" dxfId="983" priority="326">
      <formula>AND($C$83="Yes",$C$86="No",$E84="EB Tiered Percent Qualifier")</formula>
    </cfRule>
    <cfRule type="expression" dxfId="982" priority="704">
      <formula>AND($C$83&lt;&gt;"Yes",$E84="EB Tiered Percent Qualifier")</formula>
    </cfRule>
  </conditionalFormatting>
  <conditionalFormatting sqref="G103">
    <cfRule type="expression" dxfId="981" priority="322">
      <formula>AND($C$97="Yes",$C$100="No",OR($E$98="EB Threshold Percent Qualifier",$E$98="EB Tiered Percent Qualifier"))</formula>
    </cfRule>
    <cfRule type="expression" dxfId="980" priority="703">
      <formula>AND(OR($E$98="EB Threshold Percent Qualifier",$E$98="EB Tiered Percent Qualifier"),$C$97&lt;&gt;"Yes")</formula>
    </cfRule>
  </conditionalFormatting>
  <conditionalFormatting sqref="I112">
    <cfRule type="expression" dxfId="979" priority="367">
      <formula>AND($C$111="Yes",$C$114="No")</formula>
    </cfRule>
    <cfRule type="expression" dxfId="978" priority="699">
      <formula>AND($E$112&lt;&gt;"Please Select",$C$111&lt;&gt;"Yes")</formula>
    </cfRule>
  </conditionalFormatting>
  <conditionalFormatting sqref="G112">
    <cfRule type="expression" dxfId="977" priority="368">
      <formula>AND($C$111="Yes",$C$114="No")</formula>
    </cfRule>
    <cfRule type="expression" dxfId="976" priority="697">
      <formula>AND($E$112&lt;&gt;"Please Select",$C$111&lt;&gt;"Yes")</formula>
    </cfRule>
  </conditionalFormatting>
  <conditionalFormatting sqref="M112">
    <cfRule type="expression" dxfId="975" priority="694">
      <formula>OR(AND($C$111&lt;&gt;"Yes",$K$112&lt;&gt;"Corporate Office"),AND($C$111="Yes",$C$114&lt;&gt;"No"))</formula>
    </cfRule>
    <cfRule type="expression" dxfId="974" priority="695">
      <formula>OR(AND($K$112="Corporate Office",$I$112="Check",$C$111&lt;&gt;"Yes"),AND($C$111="Yes",$C$114="No"))</formula>
    </cfRule>
    <cfRule type="expression" dxfId="973" priority="696">
      <formula>AND($I$112="Credit Memo",$K$112="Corporate Office",$C$111&lt;&gt;"Yes")</formula>
    </cfRule>
  </conditionalFormatting>
  <conditionalFormatting sqref="E112">
    <cfRule type="expression" dxfId="972" priority="693">
      <formula>AND($C$111&lt;&gt;"Yes",$E$111="Yes")</formula>
    </cfRule>
  </conditionalFormatting>
  <conditionalFormatting sqref="G115">
    <cfRule type="expression" dxfId="971" priority="365">
      <formula>AND($C$111="Yes",$C$114="No")</formula>
    </cfRule>
    <cfRule type="expression" dxfId="970" priority="692">
      <formula>AND($C$111&lt;&gt;"Yes",$E$112="Growth Incentive Single Rate")</formula>
    </cfRule>
  </conditionalFormatting>
  <conditionalFormatting sqref="K115">
    <cfRule type="expression" dxfId="969" priority="364">
      <formula>AND($C$111="Yes",$C$114="No")</formula>
    </cfRule>
    <cfRule type="expression" dxfId="968" priority="691">
      <formula>AND($E$112&lt;&gt;"Please Select",$C$111&lt;&gt;"Yes")</formula>
    </cfRule>
  </conditionalFormatting>
  <conditionalFormatting sqref="I152">
    <cfRule type="expression" dxfId="967" priority="342">
      <formula>AND($C$151="Yes",$C$154="No")</formula>
    </cfRule>
    <cfRule type="expression" dxfId="966" priority="690">
      <formula>AND($E$152&lt;&gt;"Please Select",$C$151&lt;&gt;"Yes")</formula>
    </cfRule>
  </conditionalFormatting>
  <conditionalFormatting sqref="G152">
    <cfRule type="expression" dxfId="965" priority="343">
      <formula>AND($C$151="Yes",$C$154="No")</formula>
    </cfRule>
    <cfRule type="expression" dxfId="964" priority="688">
      <formula>AND($E$152&lt;&gt;"Please Select",$C$151&lt;&gt;"Yes")</formula>
    </cfRule>
  </conditionalFormatting>
  <conditionalFormatting sqref="M152">
    <cfRule type="expression" dxfId="963" priority="685">
      <formula>OR(AND($K$152&lt;&gt;"Corporate Office",$C$151&lt;&gt;"Yes"),AND($C$151="Yes",$C$154&lt;&gt;"No"))</formula>
    </cfRule>
    <cfRule type="expression" dxfId="962" priority="686">
      <formula>OR(AND($K$152="Corporate Office",$I$152="Check",$C$151&lt;&gt;"Yes"),AND($C$151="Yes",$C$154="No"))</formula>
    </cfRule>
    <cfRule type="expression" dxfId="961" priority="687">
      <formula>AND($I$152="Credit Memo",$K$152="Corporate Office",$C$151&lt;&gt;"Yes")</formula>
    </cfRule>
  </conditionalFormatting>
  <conditionalFormatting sqref="G155">
    <cfRule type="expression" dxfId="960" priority="340">
      <formula>AND($C$151="Yes",$C$154="No")</formula>
    </cfRule>
    <cfRule type="expression" dxfId="959" priority="684">
      <formula>AND($E$152="E-Commerce Incentive Threshold",$C$151&lt;&gt;"Yes")</formula>
    </cfRule>
  </conditionalFormatting>
  <conditionalFormatting sqref="E152">
    <cfRule type="expression" dxfId="958" priority="682">
      <formula>AND($C$151&lt;&gt;"Yes",$E$151="Yes")</formula>
    </cfRule>
  </conditionalFormatting>
  <conditionalFormatting sqref="I160">
    <cfRule type="expression" dxfId="957" priority="681">
      <formula>AND($E$160&lt;&gt;"Please Select",$C$159&lt;&gt;"Yes")</formula>
    </cfRule>
  </conditionalFormatting>
  <conditionalFormatting sqref="M160">
    <cfRule type="expression" dxfId="956" priority="678">
      <formula>OR(AND($K$160&lt;&gt;"Corporate Office",$C$159&lt;&gt;"Yes"),$C$159="Yes")</formula>
    </cfRule>
    <cfRule type="expression" dxfId="955" priority="679">
      <formula>AND($K$160="Corporate Office",$I$160="Check",$C$159&lt;&gt;"Yes")</formula>
    </cfRule>
    <cfRule type="expression" dxfId="954" priority="680">
      <formula>AND($I$160="Credit Memo",$K$160="Corporate Office",$C$159&lt;&gt;"Yes")</formula>
    </cfRule>
  </conditionalFormatting>
  <conditionalFormatting sqref="E160">
    <cfRule type="expression" dxfId="953" priority="677">
      <formula>AND($E$159="Yes",$C$159&lt;&gt;"Yes")</formula>
    </cfRule>
  </conditionalFormatting>
  <conditionalFormatting sqref="G163">
    <cfRule type="expression" dxfId="952" priority="676">
      <formula>AND($C$159&lt;&gt;"Yes",$E$160&lt;&gt;"Please Select")</formula>
    </cfRule>
  </conditionalFormatting>
  <conditionalFormatting sqref="E168">
    <cfRule type="expression" dxfId="951" priority="675">
      <formula>AND($E$167="Yes",$C$167&lt;&gt;"Yes")</formula>
    </cfRule>
  </conditionalFormatting>
  <conditionalFormatting sqref="I168">
    <cfRule type="expression" dxfId="950" priority="674">
      <formula>AND($E$168&lt;&gt;"Please Select",$C$167&lt;&gt;"Yes")</formula>
    </cfRule>
  </conditionalFormatting>
  <conditionalFormatting sqref="M168">
    <cfRule type="expression" dxfId="949" priority="671">
      <formula>OR(AND($K$168&lt;&gt;"Corporate Office",$C$167&lt;&gt;"Yes"),$C$167="Yes")</formula>
    </cfRule>
    <cfRule type="expression" dxfId="948" priority="672">
      <formula>AND($K$168="Corporate Office",$I$168="Check",$C$167&lt;&gt;"Yes")</formula>
    </cfRule>
    <cfRule type="expression" dxfId="947" priority="673">
      <formula>AND($I$168="Credit Memo",$K$168="Corporate Office",$C$167&lt;&gt;"Yes")</formula>
    </cfRule>
  </conditionalFormatting>
  <conditionalFormatting sqref="G171">
    <cfRule type="expression" dxfId="946" priority="670">
      <formula>$E$168&lt;&gt;"Please Select"</formula>
    </cfRule>
  </conditionalFormatting>
  <conditionalFormatting sqref="I176">
    <cfRule type="expression" dxfId="945" priority="337">
      <formula>AND($C$175="Yes",$C$178="No")</formula>
    </cfRule>
    <cfRule type="expression" dxfId="944" priority="668">
      <formula>AND($C$175&lt;&gt;"Yes",$E$176&lt;&gt;"Please Select")</formula>
    </cfRule>
  </conditionalFormatting>
  <conditionalFormatting sqref="G176">
    <cfRule type="expression" dxfId="943" priority="338">
      <formula>AND($C$175="Yes",$C$178="No")</formula>
    </cfRule>
    <cfRule type="expression" dxfId="942" priority="666">
      <formula>AND($E$176&lt;&gt;"Please Select",$C$175&lt;&gt;"Yes")</formula>
    </cfRule>
  </conditionalFormatting>
  <conditionalFormatting sqref="M176">
    <cfRule type="expression" dxfId="941" priority="663">
      <formula>OR(AND($K$176&lt;&gt;"Corporate Office",$C$175&lt;&gt;"Yes"),AND($C$175="Yes",$C$178&lt;&gt;"No"))</formula>
    </cfRule>
    <cfRule type="expression" dxfId="940" priority="664">
      <formula>OR(AND($K$176="Corporate Office",$I$176="Check",$C$175&lt;&gt;"Yes"),AND($C$175="Yes",$C$178="No"))</formula>
    </cfRule>
    <cfRule type="expression" dxfId="939" priority="665">
      <formula>AND($I$176="Credit Memo",$K$176="Corporate Office",$C$175&lt;&gt;"Yes")</formula>
    </cfRule>
  </conditionalFormatting>
  <conditionalFormatting sqref="E176">
    <cfRule type="expression" dxfId="938" priority="662">
      <formula>AND($E$175="Yes",$C$175&lt;&gt;"Yes")</formula>
    </cfRule>
  </conditionalFormatting>
  <conditionalFormatting sqref="K155">
    <cfRule type="expression" dxfId="937" priority="339">
      <formula>AND($C$151="Yes",$C$154="No")</formula>
    </cfRule>
    <cfRule type="expression" dxfId="936" priority="660">
      <formula>AND($E$152&lt;&gt;"Please Select",$C$151&lt;&gt;"Yes")</formula>
    </cfRule>
  </conditionalFormatting>
  <conditionalFormatting sqref="K179">
    <cfRule type="expression" dxfId="935" priority="335">
      <formula>AND($C$175="Yes",$C$178="No")</formula>
    </cfRule>
    <cfRule type="expression" dxfId="934" priority="659">
      <formula>AND($C$175&lt;&gt;"Yes",$E$176&lt;&gt;"Please Select")</formula>
    </cfRule>
  </conditionalFormatting>
  <conditionalFormatting sqref="I184">
    <cfRule type="expression" dxfId="933" priority="653">
      <formula>AND($C$183&lt;&gt;"Yes",$E184&lt;&gt;"Please Select")</formula>
    </cfRule>
  </conditionalFormatting>
  <conditionalFormatting sqref="M184">
    <cfRule type="expression" dxfId="932" priority="650">
      <formula>OR(AND($K184&lt;&gt;"Corporate Office",$C$183&lt;&gt;"Yes"),$C$183="Yes")</formula>
    </cfRule>
    <cfRule type="expression" dxfId="931" priority="651">
      <formula>AND($K184="Corporate Office",$I184="Check",$C$183&lt;&gt;"Yes")</formula>
    </cfRule>
    <cfRule type="expression" dxfId="930" priority="652">
      <formula>AND($I184="Credit Memo",$K184="Corporate Office",$C$183&lt;&gt;"Yes")</formula>
    </cfRule>
  </conditionalFormatting>
  <conditionalFormatting sqref="E184">
    <cfRule type="expression" dxfId="929" priority="649">
      <formula>AND($C$183&lt;&gt;"Yes",$E$183="Yes")</formula>
    </cfRule>
  </conditionalFormatting>
  <conditionalFormatting sqref="G190">
    <cfRule type="expression" dxfId="928" priority="648">
      <formula>AND($C$183&lt;&gt;"Yes",$E184&lt;&gt;"Please Select")</formula>
    </cfRule>
  </conditionalFormatting>
  <conditionalFormatting sqref="I190">
    <cfRule type="expression" dxfId="927" priority="644">
      <formula>AND($C$183&lt;&gt;"Yes",COUNT(SEARCH("ICM", $G190))=1)</formula>
    </cfRule>
    <cfRule type="expression" dxfId="926" priority="647">
      <formula>AND($C$183&lt;&gt;"Yes",$E184&lt;&gt;"Please Select")</formula>
    </cfRule>
  </conditionalFormatting>
  <conditionalFormatting sqref="K187">
    <cfRule type="expression" dxfId="925" priority="643">
      <formula>AND($E184 = "Prepaid Rollover",$C$183&lt;&gt;"Yes")</formula>
    </cfRule>
  </conditionalFormatting>
  <conditionalFormatting sqref="M190">
    <cfRule type="expression" dxfId="924" priority="641">
      <formula>AND($C$183&lt;&gt;"Yes",$E184&lt;&gt;"Please Select")</formula>
    </cfRule>
  </conditionalFormatting>
  <conditionalFormatting sqref="M187">
    <cfRule type="expression" dxfId="923" priority="640">
      <formula>AND($E184&lt;&gt;"Please Select",$C$183&lt;&gt;"Yes")</formula>
    </cfRule>
  </conditionalFormatting>
  <conditionalFormatting sqref="K190">
    <cfRule type="expression" dxfId="922" priority="639">
      <formula>AND($C$183&lt;&gt;"Yes",$E184&lt;&gt;"Please Select")</formula>
    </cfRule>
  </conditionalFormatting>
  <conditionalFormatting sqref="N182:P185">
    <cfRule type="expression" dxfId="921" priority="637">
      <formula>AND($G$187&lt;100000,$G187&gt;=10000)</formula>
    </cfRule>
    <cfRule type="expression" dxfId="920" priority="638">
      <formula>$G187&gt;=100000</formula>
    </cfRule>
  </conditionalFormatting>
  <conditionalFormatting sqref="O190">
    <cfRule type="expression" dxfId="919" priority="636">
      <formula>$E184&lt;&gt;"Please Select"</formula>
    </cfRule>
  </conditionalFormatting>
  <conditionalFormatting sqref="G195">
    <cfRule type="expression" dxfId="918" priority="617">
      <formula>AND($C$194&lt;&gt;"Yes",$E195="Prepay Multi Yr Under")</formula>
    </cfRule>
  </conditionalFormatting>
  <conditionalFormatting sqref="G207">
    <cfRule type="expression" dxfId="917" priority="616">
      <formula>AND($C$206&lt;&gt;"Yes",$E207="Prepay Multi Yr Under")</formula>
    </cfRule>
  </conditionalFormatting>
  <conditionalFormatting sqref="I195">
    <cfRule type="expression" dxfId="916" priority="615">
      <formula>AND($C$194&lt;&gt;"Yes",$E195&lt;&gt;"Please Select")</formula>
    </cfRule>
  </conditionalFormatting>
  <conditionalFormatting sqref="I207">
    <cfRule type="expression" dxfId="915" priority="614">
      <formula>AND($C$206&lt;&gt;"Yes",$E207&lt;&gt;"Please Select")</formula>
    </cfRule>
  </conditionalFormatting>
  <conditionalFormatting sqref="M195">
    <cfRule type="expression" dxfId="914" priority="611">
      <formula>OR(AND($K195&lt;&gt;"Corporate Office",$C$194&lt;&gt;"Yes"),$C$194="Yes")</formula>
    </cfRule>
    <cfRule type="expression" dxfId="913" priority="612">
      <formula>AND($K195="Corporate Office",$I195="Check",$C$194&lt;&gt;"Yes")</formula>
    </cfRule>
    <cfRule type="expression" dxfId="912" priority="613">
      <formula>AND($I195="Credit Memo",$K195="Corporate Office",$C$194&lt;&gt;"Yes")</formula>
    </cfRule>
  </conditionalFormatting>
  <conditionalFormatting sqref="M207">
    <cfRule type="expression" dxfId="911" priority="608">
      <formula>OR(AND($K207&lt;&gt;"Corporate Office",$C$206&lt;&gt;"Yes"),$C$206="Yes")</formula>
    </cfRule>
    <cfRule type="expression" dxfId="910" priority="609">
      <formula>AND($K207="Corporate Office",$I207="Check",$C$206&lt;&gt;"Yes")</formula>
    </cfRule>
    <cfRule type="expression" dxfId="909" priority="610">
      <formula>AND($I207="Credit Memo",$K207="Corporate Office",$C$206&lt;&gt;"Yes")</formula>
    </cfRule>
  </conditionalFormatting>
  <conditionalFormatting sqref="N193:P196">
    <cfRule type="expression" dxfId="908" priority="606">
      <formula>AND($G$198&lt;100000,$G198&gt;=10000)</formula>
    </cfRule>
    <cfRule type="expression" dxfId="907" priority="607">
      <formula>$G198&gt;=100000</formula>
    </cfRule>
  </conditionalFormatting>
  <conditionalFormatting sqref="N205:P208">
    <cfRule type="expression" dxfId="906" priority="604">
      <formula>AND($G$210&lt;=100000,$G210&gt;=10000)</formula>
    </cfRule>
    <cfRule type="expression" dxfId="905" priority="605">
      <formula>$G210&gt;=100000</formula>
    </cfRule>
  </conditionalFormatting>
  <conditionalFormatting sqref="I219">
    <cfRule type="expression" dxfId="904" priority="576">
      <formula>AND($C$218&lt;&gt;"Yes",$E219&lt;&gt;"Please Select")</formula>
    </cfRule>
  </conditionalFormatting>
  <conditionalFormatting sqref="E219">
    <cfRule type="expression" dxfId="903" priority="575">
      <formula>AND($C$218&lt;&gt;"Yes",$E$218="Yes")</formula>
    </cfRule>
  </conditionalFormatting>
  <conditionalFormatting sqref="K222">
    <cfRule type="expression" dxfId="902" priority="573">
      <formula>AND($C$218&lt;&gt;"Yes",$E$219&lt;&gt;"Please Select")</formula>
    </cfRule>
  </conditionalFormatting>
  <conditionalFormatting sqref="E195">
    <cfRule type="expression" dxfId="901" priority="553">
      <formula>AND($C$194&lt;&gt;"Yes",$E$194="Yes")</formula>
    </cfRule>
  </conditionalFormatting>
  <conditionalFormatting sqref="K21:K23 G21:G23">
    <cfRule type="expression" dxfId="900" priority="552">
      <formula>OR(AND($E$14="Volume Incentive Tiered",$C$13&lt;&gt;"Yes"),AND($C$13="Yes",$C$16="No",$E$14="Volume Incentive Tiered"))</formula>
    </cfRule>
  </conditionalFormatting>
  <conditionalFormatting sqref="K63:K65">
    <cfRule type="expression" dxfId="899" priority="541">
      <formula>OR(AND($E$56="DS Tiered Average Invoice Dollar Qualifier",$C$55&lt;&gt;"Yes"),AND($C$55="Yes",$C$58="No",$E$56="DS Tiered Average Invoice Dollar Qualifier"))</formula>
    </cfRule>
  </conditionalFormatting>
  <conditionalFormatting sqref="K91:K93">
    <cfRule type="expression" dxfId="898" priority="540">
      <formula>OR(AND($C$83&lt;&gt;"Yes",$E$84="EB Tiered Percent Qualifier"),AND($C$83="Yes",$C$86="No",,$E$84="EB Tiered Percent Qualifier"))</formula>
    </cfRule>
  </conditionalFormatting>
  <conditionalFormatting sqref="K48">
    <cfRule type="expression" dxfId="897" priority="534">
      <formula>$E42="Volume Incentive Tiered"</formula>
    </cfRule>
  </conditionalFormatting>
  <conditionalFormatting sqref="K77:K79">
    <cfRule type="expression" dxfId="896" priority="530">
      <formula>OR(AND($E$70="DS Tiered Average Invoice Dollar Qualifier",$C$69&lt;&gt;"Yes"),AND($C$69="Yes",$C$58="72",$E$70="DS Tiered Average Invoice Dollar Qualifier"))</formula>
    </cfRule>
  </conditionalFormatting>
  <conditionalFormatting sqref="K104">
    <cfRule type="expression" dxfId="895" priority="320">
      <formula>AND($C$97="Yes",$C$100="No",$E98="EB Tiered Percent Qualifier")</formula>
    </cfRule>
    <cfRule type="expression" dxfId="894" priority="528">
      <formula>AND($E98="EB Tiered Percent Qualifier",$C$97&lt;&gt;"Yes")</formula>
    </cfRule>
  </conditionalFormatting>
  <conditionalFormatting sqref="K105:K107">
    <cfRule type="expression" dxfId="893" priority="527">
      <formula>OR(AND($C$97&lt;&gt;"Yes",$E$98="EB Tiered Percent Qualifier"),AND($C$97="Yes",$C$100="No",$E$98="EB Tiered Percent Qualifier"))</formula>
    </cfRule>
  </conditionalFormatting>
  <conditionalFormatting sqref="T12:T14">
    <cfRule type="cellIs" dxfId="892" priority="526" operator="equal">
      <formula>"Yes"</formula>
    </cfRule>
  </conditionalFormatting>
  <conditionalFormatting sqref="K19">
    <cfRule type="expression" dxfId="891" priority="303">
      <formula>AND($C$13="Yes",$C$16="No")</formula>
    </cfRule>
    <cfRule type="expression" dxfId="890" priority="523">
      <formula>AND($E$14&lt;&gt;"Please Select",$C$13&lt;&gt;"Yes")</formula>
    </cfRule>
  </conditionalFormatting>
  <conditionalFormatting sqref="K33">
    <cfRule type="expression" dxfId="889" priority="294">
      <formula>AND($C$27="Yes",$C$30="No")</formula>
    </cfRule>
    <cfRule type="expression" dxfId="888" priority="522">
      <formula>AND($C$27&lt;&gt;"Yes",$E$28&lt;&gt;"Please Select")</formula>
    </cfRule>
  </conditionalFormatting>
  <conditionalFormatting sqref="K47">
    <cfRule type="expression" dxfId="887" priority="289">
      <formula>AND($C$41="Yes",$C$44="No")</formula>
    </cfRule>
    <cfRule type="expression" dxfId="886" priority="521">
      <formula>AND($C$41&lt;&gt;"Yes",$E$42&lt;&gt;"Please Select")</formula>
    </cfRule>
  </conditionalFormatting>
  <conditionalFormatting sqref="K89">
    <cfRule type="expression" dxfId="885" priority="327">
      <formula>AND($C$83="Yes",$C$86="No")</formula>
    </cfRule>
    <cfRule type="expression" dxfId="884" priority="520">
      <formula>AND($C$83&lt;&gt;"Yes",$E$84&lt;&gt;"Please Select")</formula>
    </cfRule>
  </conditionalFormatting>
  <conditionalFormatting sqref="K103">
    <cfRule type="expression" dxfId="883" priority="319">
      <formula>AND($C$97="Yes",$C$100="No")</formula>
    </cfRule>
    <cfRule type="expression" dxfId="882" priority="519">
      <formula>AND($C$97&lt;&gt;"Yes",$E$98&lt;&gt;"Please Select")</formula>
    </cfRule>
  </conditionalFormatting>
  <conditionalFormatting sqref="K28">
    <cfRule type="expression" dxfId="881" priority="299">
      <formula>AND($C$27="Yes",$C$30="No")</formula>
    </cfRule>
    <cfRule type="expression" dxfId="880" priority="512">
      <formula>AND($E28&lt;&gt;"Please Select",$I28&lt;&gt;"Check",$C$27&lt;&gt;"Yes")</formula>
    </cfRule>
  </conditionalFormatting>
  <conditionalFormatting sqref="K42">
    <cfRule type="expression" dxfId="879" priority="296">
      <formula>AND($C$41="Yes",$C$44="No")</formula>
    </cfRule>
    <cfRule type="expression" dxfId="878" priority="511">
      <formula>AND($E42&lt;&gt;"Please Select",$I42&lt;&gt;"Check",$C$41&lt;&gt;"Yes")</formula>
    </cfRule>
  </conditionalFormatting>
  <conditionalFormatting sqref="K56">
    <cfRule type="expression" dxfId="877" priority="316">
      <formula>AND($C$55="Yes",$C$58="No")</formula>
    </cfRule>
    <cfRule type="expression" dxfId="876" priority="510">
      <formula>AND($E56&lt;&gt;"Please Select",$I56&lt;&gt;"Check",$C$55&lt;&gt;"Yes")</formula>
    </cfRule>
  </conditionalFormatting>
  <conditionalFormatting sqref="K70">
    <cfRule type="expression" dxfId="875" priority="311">
      <formula>AND($C$69="Yes",$C$72="No")</formula>
    </cfRule>
    <cfRule type="expression" dxfId="874" priority="509">
      <formula>AND($E70&lt;&gt;"Please Select",$I70&lt;&gt;"Check",$C$69&lt;&gt;"Yes")</formula>
    </cfRule>
  </conditionalFormatting>
  <conditionalFormatting sqref="K84">
    <cfRule type="expression" dxfId="873" priority="330">
      <formula>AND($C$83="Yes",$C$86="No")</formula>
    </cfRule>
    <cfRule type="expression" dxfId="872" priority="508">
      <formula>AND($E84&lt;&gt;"Please Select",$I84&lt;&gt;"Check",$C$83&lt;&gt;"Yes")</formula>
    </cfRule>
  </conditionalFormatting>
  <conditionalFormatting sqref="K98">
    <cfRule type="expression" dxfId="871" priority="323">
      <formula>AND($C$97="Yes",$C$100="No")</formula>
    </cfRule>
    <cfRule type="expression" dxfId="870" priority="507">
      <formula>AND($E98&lt;&gt;"Please Select",$I98&lt;&gt;"Check",$C$97&lt;&gt;"Yes")</formula>
    </cfRule>
  </conditionalFormatting>
  <conditionalFormatting sqref="K112">
    <cfRule type="expression" dxfId="869" priority="366">
      <formula>AND($C$111="Yes",$C$114="No")</formula>
    </cfRule>
    <cfRule type="expression" dxfId="868" priority="506">
      <formula>AND($E112&lt;&gt;"Please Select",$I112&lt;&gt;"Check",$C$111&lt;&gt;"Yes")</formula>
    </cfRule>
  </conditionalFormatting>
  <conditionalFormatting sqref="K152">
    <cfRule type="expression" dxfId="867" priority="341">
      <formula>AND($C$151="Yes",$C$154="No")</formula>
    </cfRule>
    <cfRule type="expression" dxfId="866" priority="505">
      <formula>AND($E152&lt;&gt;"Please Select",$I152&lt;&gt;"Check",$C$151&lt;&gt;"Yes")</formula>
    </cfRule>
  </conditionalFormatting>
  <conditionalFormatting sqref="K176">
    <cfRule type="expression" dxfId="865" priority="336">
      <formula>AND($C$175="Yes",$C$178="No")</formula>
    </cfRule>
    <cfRule type="expression" dxfId="864" priority="502">
      <formula>AND($E176&lt;&gt;"Please Select",$I176&lt;&gt;"Check",$C$175&lt;&gt;"Yes")</formula>
    </cfRule>
  </conditionalFormatting>
  <conditionalFormatting sqref="I187">
    <cfRule type="expression" dxfId="863" priority="481">
      <formula>AND($C$183&lt;&gt;"Yes",$E$184&lt;&gt;"Please Select")</formula>
    </cfRule>
  </conditionalFormatting>
  <conditionalFormatting sqref="G198">
    <cfRule type="expression" dxfId="862" priority="479">
      <formula>AND($C$194&lt;&gt;"Yes",$E$195="Prepaid Single Payment")</formula>
    </cfRule>
  </conditionalFormatting>
  <conditionalFormatting sqref="G210">
    <cfRule type="expression" dxfId="861" priority="478">
      <formula>AND($C$206&lt;&gt;"Yes",$E$207="Prepaid Single Payment")</formula>
    </cfRule>
  </conditionalFormatting>
  <conditionalFormatting sqref="G105:G107">
    <cfRule type="expression" dxfId="860" priority="477">
      <formula>OR(AND($C$97&lt;&gt;"Yes",$E$98="EB Tiered Percent Qualifier"),AND($C$97="Yes",$C$100="No",$E$98="EB Tiered Percent Qualifier"))</formula>
    </cfRule>
  </conditionalFormatting>
  <conditionalFormatting sqref="G91:G93">
    <cfRule type="expression" dxfId="859" priority="476">
      <formula>OR(AND($C$83&lt;&gt;"Yes",$E$84="EB Tiered Percent Qualifier"),AND($C$83="Yes",$C$86="No",$E$84="EB Tiered Percent Qualifier"))</formula>
    </cfRule>
  </conditionalFormatting>
  <conditionalFormatting sqref="G90">
    <cfRule type="expression" dxfId="858" priority="328">
      <formula>AND($C$83="Yes",$C$86="No",$E$84="EB Tiered Percent Qualifier")</formula>
    </cfRule>
    <cfRule type="expression" dxfId="857" priority="475">
      <formula>AND($C$83&lt;&gt;"Yes",$E$84="EB Tiered Percent Qualifier")</formula>
    </cfRule>
  </conditionalFormatting>
  <conditionalFormatting sqref="G104">
    <cfRule type="expression" dxfId="856" priority="321">
      <formula>AND($E$98="EB Tiered Percent Qualifier",$C$97="Yes",$C$100="No")</formula>
    </cfRule>
    <cfRule type="expression" dxfId="855" priority="474">
      <formula>AND($C$97&lt;&gt;"Yes",$E$98="EB Tiered Percent Qualifier")</formula>
    </cfRule>
  </conditionalFormatting>
  <conditionalFormatting sqref="I89:I93">
    <cfRule type="cellIs" dxfId="854" priority="473" operator="equal">
      <formula>0</formula>
    </cfRule>
  </conditionalFormatting>
  <conditionalFormatting sqref="I103:I107">
    <cfRule type="cellIs" dxfId="853" priority="472" operator="equal">
      <formula>0</formula>
    </cfRule>
  </conditionalFormatting>
  <conditionalFormatting sqref="M198">
    <cfRule type="expression" dxfId="852" priority="471">
      <formula>OR(AND($E$195&lt;&gt;"Prepay Multi Yr Under",$C$194&lt;&gt;"Yes"),$C$194="Yes")</formula>
    </cfRule>
  </conditionalFormatting>
  <conditionalFormatting sqref="M199">
    <cfRule type="expression" dxfId="851" priority="470">
      <formula>OR(AND($C$194&lt;&gt;"Yes",$E$195&lt;&gt;"Prepay Multi Yr Under"),$C$194="Yes")</formula>
    </cfRule>
  </conditionalFormatting>
  <conditionalFormatting sqref="M200">
    <cfRule type="expression" dxfId="850" priority="469">
      <formula>OR(AND($C$194&lt;&gt;"Yes",$E$195&lt;&gt;"Prepay Multi Yr Under"),$C$194="Yes")</formula>
    </cfRule>
  </conditionalFormatting>
  <conditionalFormatting sqref="M201">
    <cfRule type="expression" dxfId="849" priority="468">
      <formula>OR(AND($C$194&lt;&gt;"Yes",$E$195&lt;&gt;"Prepay Multi Yr Under"),$C$194="Yes")</formula>
    </cfRule>
  </conditionalFormatting>
  <conditionalFormatting sqref="M202">
    <cfRule type="expression" dxfId="848" priority="467">
      <formula>OR(AND($C$194&lt;&gt;"Yes",$E$195&lt;&gt;"Prepay Multi Yr Under"),$C$194="Yes")</formula>
    </cfRule>
  </conditionalFormatting>
  <conditionalFormatting sqref="M210">
    <cfRule type="expression" dxfId="847" priority="466">
      <formula>AND($C$206&lt;&gt;"Yes",$E$207&lt;&gt;"Prepay Multi Yr Under")</formula>
    </cfRule>
  </conditionalFormatting>
  <conditionalFormatting sqref="M211">
    <cfRule type="expression" dxfId="846" priority="465">
      <formula>AND($C$206&lt;&gt;"Yes",$E$207&lt;&gt;"Prepay Multi Yr Under")</formula>
    </cfRule>
  </conditionalFormatting>
  <conditionalFormatting sqref="M212">
    <cfRule type="expression" dxfId="845" priority="464">
      <formula>AND($C$206&lt;&gt;"Yes",$E$207&lt;&gt;"Prepay Multi Yr Under")</formula>
    </cfRule>
  </conditionalFormatting>
  <conditionalFormatting sqref="M213">
    <cfRule type="expression" dxfId="844" priority="463">
      <formula>AND($C$206&lt;&gt;"Yes",$E$207&lt;&gt;"Prepay Multi Yr Under")</formula>
    </cfRule>
  </conditionalFormatting>
  <conditionalFormatting sqref="M214">
    <cfRule type="expression" dxfId="843" priority="462">
      <formula>AND($C$206&lt;&gt;"Yes",$E$207&lt;&gt;"Prepay Multi Yr Under")</formula>
    </cfRule>
  </conditionalFormatting>
  <conditionalFormatting sqref="K198:K202">
    <cfRule type="expression" dxfId="842" priority="461">
      <formula>OR(AND($C$194&lt;&gt;"Yes",$E$195="Prepaid Single Payment"),$C$194="Yes")</formula>
    </cfRule>
  </conditionalFormatting>
  <conditionalFormatting sqref="K210:K214">
    <cfRule type="expression" dxfId="841" priority="460">
      <formula>AND($C$206&lt;&gt;"Yes",$E$207="Prepaid Single Payment")</formula>
    </cfRule>
  </conditionalFormatting>
  <conditionalFormatting sqref="E207">
    <cfRule type="expression" dxfId="840" priority="459">
      <formula>AND($E$206="Yes",$C$206&lt;&gt;"Yes")</formula>
    </cfRule>
  </conditionalFormatting>
  <conditionalFormatting sqref="I120">
    <cfRule type="expression" dxfId="839" priority="362">
      <formula>AND($C$119="Yes",$C$122="No")</formula>
    </cfRule>
    <cfRule type="expression" dxfId="838" priority="457">
      <formula>AND($C$119&lt;&gt;"Yes",$E$120&lt;&gt;"Please Select")</formula>
    </cfRule>
  </conditionalFormatting>
  <conditionalFormatting sqref="G120">
    <cfRule type="expression" dxfId="837" priority="363">
      <formula>AND($C$119="Yes",$C$122="No")</formula>
    </cfRule>
    <cfRule type="expression" dxfId="836" priority="456">
      <formula>AND($C$119&lt;&gt;"Yes",$E$120&lt;&gt;"Please Select")</formula>
    </cfRule>
  </conditionalFormatting>
  <conditionalFormatting sqref="M120">
    <cfRule type="expression" dxfId="835" priority="453">
      <formula>OR(AND($K$120&lt;&gt;"Corporate Office",$C$119&lt;&gt;"Yes"),AND($C$119="Yes",$C$122&lt;&gt;"No"))</formula>
    </cfRule>
    <cfRule type="expression" dxfId="834" priority="454">
      <formula>OR(AND($K$120="Corporate Office",$I$120="Check",$C$119&lt;&gt;"Yes"),AND($C$119="Yes",$C$122="No"))</formula>
    </cfRule>
    <cfRule type="expression" dxfId="833" priority="455">
      <formula>AND($I$120="Credit Memo",$K$120="Corporate Office",$C$119&lt;&gt;"Yes")</formula>
    </cfRule>
  </conditionalFormatting>
  <conditionalFormatting sqref="E120">
    <cfRule type="expression" dxfId="832" priority="452">
      <formula>AND($C$119&lt;&gt;"Yes",$E$119="Yes")</formula>
    </cfRule>
  </conditionalFormatting>
  <conditionalFormatting sqref="G123">
    <cfRule type="expression" dxfId="831" priority="360">
      <formula>AND($C$119="Yes",$C$122="No")</formula>
    </cfRule>
    <cfRule type="expression" dxfId="830" priority="451">
      <formula>AND($C$119&lt;&gt;"Yes",$E$120="Growth Incentive Single Rate")</formula>
    </cfRule>
  </conditionalFormatting>
  <conditionalFormatting sqref="K123">
    <cfRule type="expression" dxfId="829" priority="359">
      <formula>AND($C$119="Yes",$C$122="No")</formula>
    </cfRule>
    <cfRule type="expression" dxfId="828" priority="450">
      <formula>AND($C$119&lt;&gt;"Yes",$E$120&lt;&gt;"Please Select")</formula>
    </cfRule>
  </conditionalFormatting>
  <conditionalFormatting sqref="K120">
    <cfRule type="expression" dxfId="827" priority="361">
      <formula>AND($C$119="Yes",$C$122="No")</formula>
    </cfRule>
    <cfRule type="expression" dxfId="826" priority="449">
      <formula>AND($E120&lt;&gt;"Please Select",$I120&lt;&gt;"Check",$C$119&lt;&gt;"Yes")</formula>
    </cfRule>
  </conditionalFormatting>
  <conditionalFormatting sqref="I128">
    <cfRule type="expression" dxfId="825" priority="357">
      <formula>AND($C$127="Yes",$C$130="No")</formula>
    </cfRule>
    <cfRule type="expression" dxfId="824" priority="448">
      <formula>AND($E$128&lt;&gt;"Please Select",$C$127&lt;&gt;"Yes")</formula>
    </cfRule>
  </conditionalFormatting>
  <conditionalFormatting sqref="G128">
    <cfRule type="expression" dxfId="823" priority="358">
      <formula>AND($C$127="Yes",$C$130="No")</formula>
    </cfRule>
    <cfRule type="expression" dxfId="822" priority="447">
      <formula>AND($E$128&lt;&gt;"Please Select",$C$127&lt;&gt;"Yes")</formula>
    </cfRule>
  </conditionalFormatting>
  <conditionalFormatting sqref="M128">
    <cfRule type="expression" dxfId="821" priority="444">
      <formula>OR(AND($C$127&lt;&gt;"Yes",$K$128&lt;&gt;"Corporate Office"),AND($C$127="Yes",$C$130&lt;&gt;"No"))</formula>
    </cfRule>
    <cfRule type="expression" dxfId="820" priority="445">
      <formula>OR(AND($K$128="Corporate Office",$I$128="Check",$C$135&lt;&gt;"Yes"),AND($C$135="Yes",$C$138="No"))</formula>
    </cfRule>
    <cfRule type="expression" dxfId="819" priority="446">
      <formula>AND($I$128="Credit Memo",$K$128="Corporate Office",$C$135&lt;&gt;"Yes")</formula>
    </cfRule>
  </conditionalFormatting>
  <conditionalFormatting sqref="E128">
    <cfRule type="expression" dxfId="818" priority="443">
      <formula>AND($C$135&lt;&gt;"Yes",$E$127="Yes")</formula>
    </cfRule>
  </conditionalFormatting>
  <conditionalFormatting sqref="G131">
    <cfRule type="expression" dxfId="817" priority="354">
      <formula>AND($C$127="Yes",$C$130="No")</formula>
    </cfRule>
    <cfRule type="expression" dxfId="816" priority="442">
      <formula>AND($E$128="Growth Incentive Single Rate",$C$127&lt;&gt;"Yes")</formula>
    </cfRule>
  </conditionalFormatting>
  <conditionalFormatting sqref="K131">
    <cfRule type="expression" dxfId="815" priority="353">
      <formula>AND($C$127="Yes",$C$130="No")</formula>
    </cfRule>
    <cfRule type="expression" dxfId="814" priority="441">
      <formula>AND($E$128&lt;&gt;"Please Select",$C$127&lt;&gt;"Yes")</formula>
    </cfRule>
  </conditionalFormatting>
  <conditionalFormatting sqref="K128">
    <cfRule type="expression" dxfId="813" priority="356">
      <formula>AND($C$127="Yes",$C$130="No")</formula>
    </cfRule>
    <cfRule type="expression" dxfId="812" priority="440">
      <formula>AND($E128&lt;&gt;"Please Select",$I128&lt;&gt;"Check",$C$126&lt;&gt;"Yes")</formula>
    </cfRule>
  </conditionalFormatting>
  <conditionalFormatting sqref="I144">
    <cfRule type="expression" dxfId="811" priority="347">
      <formula>AND($C$143="Yes",$C$146="No")</formula>
    </cfRule>
    <cfRule type="expression" dxfId="810" priority="439">
      <formula>AND($E$144&lt;&gt;"Please Select",$C$143&lt;&gt;"Yes")</formula>
    </cfRule>
  </conditionalFormatting>
  <conditionalFormatting sqref="G144">
    <cfRule type="expression" dxfId="809" priority="348">
      <formula>AND($C$143="Yes",$C$146="No")</formula>
    </cfRule>
    <cfRule type="expression" dxfId="808" priority="438">
      <formula>AND($E$144&lt;&gt;"Please Select",$C$143&lt;&gt;"Yes")</formula>
    </cfRule>
  </conditionalFormatting>
  <conditionalFormatting sqref="M144">
    <cfRule type="expression" dxfId="807" priority="435">
      <formula>OR(AND($K$144&lt;&gt;"Corporate Office",$C$143&lt;&gt;"Yes"),AND($C$143="Yes",$C$146&lt;&gt;"No"))</formula>
    </cfRule>
    <cfRule type="expression" dxfId="806" priority="436">
      <formula>OR(AND($K$144="Corporate Office",$I$144="Check",$C$143&lt;&gt;"Yes"),AND($C$143="Yes",$C$146="No"))</formula>
    </cfRule>
    <cfRule type="expression" dxfId="805" priority="437">
      <formula>AND($I$144="Credit Memo",$K$144="Corporate Office",$C$143&lt;&gt;"Yes")</formula>
    </cfRule>
  </conditionalFormatting>
  <conditionalFormatting sqref="E144">
    <cfRule type="expression" dxfId="804" priority="434">
      <formula>AND($E$143="Yes",$C$143&lt;&gt;"Yes")</formula>
    </cfRule>
  </conditionalFormatting>
  <conditionalFormatting sqref="G147">
    <cfRule type="expression" dxfId="803" priority="345">
      <formula>AND($C$143="Yes",$C$146="No")</formula>
    </cfRule>
    <cfRule type="expression" dxfId="802" priority="433">
      <formula>AND($E$144="Growth Incentive Single Rate",$C$143&lt;&gt;"Yes")</formula>
    </cfRule>
  </conditionalFormatting>
  <conditionalFormatting sqref="K147">
    <cfRule type="expression" dxfId="801" priority="344">
      <formula>AND($C$143="Yes",$C$146="No")</formula>
    </cfRule>
    <cfRule type="expression" dxfId="800" priority="432">
      <formula>AND($E$144&lt;&gt;"Please Select",$C$143&lt;&gt;"Yes")</formula>
    </cfRule>
  </conditionalFormatting>
  <conditionalFormatting sqref="K144">
    <cfRule type="expression" dxfId="799" priority="346">
      <formula>AND($C$143="Yes",$C$146="No")</formula>
    </cfRule>
    <cfRule type="expression" dxfId="798" priority="431">
      <formula>AND($E144&lt;&gt;"Please Select",$I144&lt;&gt;"Check",$C$143&lt;&gt;"Yes")</formula>
    </cfRule>
  </conditionalFormatting>
  <conditionalFormatting sqref="I136">
    <cfRule type="expression" dxfId="797" priority="351">
      <formula>AND($C$135="Yes",$C$138="No")</formula>
    </cfRule>
    <cfRule type="expression" dxfId="796" priority="430">
      <formula>AND($E$136&lt;&gt;"Please Select",$C$135&lt;&gt;"Yes")</formula>
    </cfRule>
  </conditionalFormatting>
  <conditionalFormatting sqref="G136">
    <cfRule type="expression" dxfId="795" priority="352">
      <formula>AND($C$135="Yes",$C$138="No")</formula>
    </cfRule>
    <cfRule type="expression" dxfId="794" priority="429">
      <formula>AND($C$135&lt;&gt;"Yes",$E$136&lt;&gt;"Please Select")</formula>
    </cfRule>
  </conditionalFormatting>
  <conditionalFormatting sqref="M136">
    <cfRule type="expression" dxfId="793" priority="426">
      <formula>OR(AND($K$136&lt;&gt;"Corporate Office",$C$135&lt;&gt;"Yes"),AND($C$135="Yes",$C$138&lt;&gt;"No"))</formula>
    </cfRule>
    <cfRule type="expression" dxfId="792" priority="427">
      <formula>OR(AND($K$136="Corporate Office",$I$136="Check",$C$135&lt;&gt;"Yes"),AND($C$135="Yes",$C$138="No"))</formula>
    </cfRule>
    <cfRule type="expression" dxfId="791" priority="428">
      <formula>AND($I$136="Credit Memo",$K$136="Corporate Office",$C$135&lt;&gt;"Yes")</formula>
    </cfRule>
  </conditionalFormatting>
  <conditionalFormatting sqref="E136">
    <cfRule type="expression" dxfId="790" priority="425">
      <formula>AND($E$135="Yes",$C$135&lt;&gt;"Yes")</formula>
    </cfRule>
  </conditionalFormatting>
  <conditionalFormatting sqref="G139">
    <cfRule type="expression" dxfId="789" priority="355">
      <formula>AND($C$135="Yes",$C$138="No")</formula>
    </cfRule>
    <cfRule type="expression" dxfId="788" priority="424">
      <formula>AND($E$136="Growth Incentive Single Rate",$C$135&lt;&gt;"Yes")</formula>
    </cfRule>
  </conditionalFormatting>
  <conditionalFormatting sqref="K139">
    <cfRule type="expression" dxfId="787" priority="349">
      <formula>AND($C$135="Yes",$C$138="No")</formula>
    </cfRule>
    <cfRule type="expression" dxfId="786" priority="423">
      <formula>AND($E$136&lt;&gt;"Please Select",$C$135&lt;&gt;"Yes")</formula>
    </cfRule>
  </conditionalFormatting>
  <conditionalFormatting sqref="K136">
    <cfRule type="expression" dxfId="785" priority="350">
      <formula>AND($C$135="Yes",$C$138="No")</formula>
    </cfRule>
    <cfRule type="expression" dxfId="784" priority="422">
      <formula>AND($E136&lt;&gt;"Please Select",$I136&lt;&gt;"Check",$C$135&lt;&gt;"Yes")</formula>
    </cfRule>
  </conditionalFormatting>
  <conditionalFormatting sqref="K223">
    <cfRule type="cellIs" dxfId="783" priority="419" operator="equal">
      <formula>"Rate cannot be greater than the Prepaid Rate % of Sales"</formula>
    </cfRule>
    <cfRule type="cellIs" dxfId="782" priority="421" operator="equal">
      <formula>"Recommended NCI is 1%"</formula>
    </cfRule>
  </conditionalFormatting>
  <conditionalFormatting sqref="O336">
    <cfRule type="containsBlanks" dxfId="781" priority="418">
      <formula>LEN(TRIM(O336))=0</formula>
    </cfRule>
  </conditionalFormatting>
  <conditionalFormatting sqref="G70">
    <cfRule type="expression" dxfId="780" priority="313">
      <formula>AND($C$69="Yes",$C$72="No")</formula>
    </cfRule>
    <cfRule type="expression" dxfId="779" priority="376">
      <formula>AND($C$69&lt;&gt;"Yes",$E$70&lt;&gt;"Please Select")</formula>
    </cfRule>
  </conditionalFormatting>
  <conditionalFormatting sqref="G63:G65">
    <cfRule type="expression" dxfId="778" priority="373">
      <formula>OR(AND($E$56="DS Tiered Average Invoice Dollar Qualifier",$C$55&lt;&gt;"Yes"),AND($C$55="Yes",$C$58="No",$E$56="DS Tiered Average Invoice Dollar Qualifier"))</formula>
    </cfRule>
  </conditionalFormatting>
  <conditionalFormatting sqref="G77:G79">
    <cfRule type="expression" dxfId="777" priority="372">
      <formula>OR(AND($E$70="DS Tiered Average Invoice Dollar Qualifier",$C$69&lt;&gt;"Yes"),AND($C$69="Yes",$C$58="72",$E$70="DS Tiered Average Invoice Dollar Qualifier"))</formula>
    </cfRule>
  </conditionalFormatting>
  <conditionalFormatting sqref="D8:D9">
    <cfRule type="expression" dxfId="776" priority="371">
      <formula>$D$10=""</formula>
    </cfRule>
  </conditionalFormatting>
  <conditionalFormatting sqref="E8:E9">
    <cfRule type="expression" dxfId="775" priority="369">
      <formula>$D$10=""</formula>
    </cfRule>
  </conditionalFormatting>
  <conditionalFormatting sqref="M198:M202">
    <cfRule type="expression" dxfId="774" priority="334">
      <formula>AND($C$194="Yes",$C$197="No")</formula>
    </cfRule>
  </conditionalFormatting>
  <conditionalFormatting sqref="M210:M214">
    <cfRule type="expression" dxfId="773" priority="333">
      <formula>AND($C$206="Yes",$C$209="No")</formula>
    </cfRule>
  </conditionalFormatting>
  <conditionalFormatting sqref="G61">
    <cfRule type="expression" dxfId="772" priority="315">
      <formula>AND(OR($E56="DS Tiered Average Invoice Dollar Qualifier",$E56="DS Threshold Average Invoice Dollar Qualifier"),$C$55="Yes",$C$58="No")</formula>
    </cfRule>
  </conditionalFormatting>
  <conditionalFormatting sqref="G75 K75">
    <cfRule type="expression" dxfId="771" priority="309">
      <formula>AND(OR($E70="DS Tiered Average Invoice Dollar Qualifier",$E70="DS Threshold Average Invoice Dollar Qualifier"),$C$69="Yes",$C$72="No")</formula>
    </cfRule>
    <cfRule type="expression" dxfId="770" priority="375">
      <formula>AND(OR($E70="DS Tiered Average Invoice Dollar Qualifier",$E70="DS Threshold Average Invoice Dollar Qualifier"),$C$69&lt;&gt;"Yes")</formula>
    </cfRule>
  </conditionalFormatting>
  <conditionalFormatting sqref="G76 K76">
    <cfRule type="expression" dxfId="769" priority="308">
      <formula>AND($C$69="Yes",$C$72="No",$E70="DS Tiered Average Invoice Dollar Qualifier")</formula>
    </cfRule>
    <cfRule type="expression" dxfId="768" priority="374">
      <formula>AND($C$69&lt;&gt;"Yes",$E70="DS Tiered Average Invoice Dollar Qualifier")</formula>
    </cfRule>
  </conditionalFormatting>
  <conditionalFormatting sqref="G34 K34">
    <cfRule type="expression" dxfId="767" priority="293">
      <formula>AND($E28="Volume Incentive Tiered",$C$27="Yes",$C$30="No")</formula>
    </cfRule>
    <cfRule type="expression" dxfId="766" priority="713">
      <formula>AND($E28="Volume Incentive Tiered",$C$27&lt;&gt;"Yes")</formula>
    </cfRule>
  </conditionalFormatting>
  <conditionalFormatting sqref="G35:G37 K35:K37">
    <cfRule type="expression" dxfId="765" priority="292">
      <formula>OR(AND($E$28="Volume Incentive Tiered",$C$27&lt;&gt;"Yes"),AND($C$27="Yes",$C$30="No",$E$28="Volume Incentive Tiered"))</formula>
    </cfRule>
  </conditionalFormatting>
  <conditionalFormatting sqref="G48 K48">
    <cfRule type="expression" dxfId="764" priority="288">
      <formula>AND($E42="Volume Incentive Tiered",$C$41="Yes",$C$44="No")</formula>
    </cfRule>
    <cfRule type="expression" dxfId="763" priority="711">
      <formula>AND($E42="Volume Incentive Tiered",$C$41&lt;&gt;"Yes")</formula>
    </cfRule>
  </conditionalFormatting>
  <conditionalFormatting sqref="G49:G51 K49:K51">
    <cfRule type="expression" dxfId="762" priority="287">
      <formula>OR(AND($E$42="Volume Incentive Tiered",$C$41&lt;&gt;"Yes"),AND($C$41="Yes",$C$44="No",$E$42="Volume Incentive Tiered"))</formula>
    </cfRule>
  </conditionalFormatting>
  <conditionalFormatting sqref="K61">
    <cfRule type="expression" dxfId="761" priority="286">
      <formula>AND($C$55="Yes",$C$58="No",OR($E56="DS Tiered Average Invoice Dollar Qualifier",$E56="DS Threshold Average Invoice Dollar Qualifier"))</formula>
    </cfRule>
  </conditionalFormatting>
  <conditionalFormatting sqref="K234">
    <cfRule type="cellIs" dxfId="760" priority="284" operator="equal">
      <formula>"Rate cannot be greater than the Prepaid Rate % of Sales"</formula>
    </cfRule>
    <cfRule type="cellIs" dxfId="759" priority="285" operator="equal">
      <formula>"Recommended NCI is 1%"</formula>
    </cfRule>
  </conditionalFormatting>
  <conditionalFormatting sqref="E229">
    <cfRule type="expression" dxfId="758" priority="281">
      <formula>$C$229=""</formula>
    </cfRule>
    <cfRule type="expression" dxfId="757" priority="283">
      <formula>$C$229="Yes"</formula>
    </cfRule>
  </conditionalFormatting>
  <conditionalFormatting sqref="E230">
    <cfRule type="expression" dxfId="756" priority="280">
      <formula>$C$229=""</formula>
    </cfRule>
    <cfRule type="expression" dxfId="755" priority="282">
      <formula>$C$229="Yes"</formula>
    </cfRule>
  </conditionalFormatting>
  <conditionalFormatting sqref="E226">
    <cfRule type="expression" dxfId="754" priority="278">
      <formula>$C$229=""</formula>
    </cfRule>
    <cfRule type="expression" dxfId="753" priority="279">
      <formula>$C$229="Yes"</formula>
    </cfRule>
  </conditionalFormatting>
  <conditionalFormatting sqref="E227">
    <cfRule type="expression" dxfId="752" priority="276">
      <formula>OR($E$226="No",$C$229="Yes")</formula>
    </cfRule>
    <cfRule type="expression" dxfId="751" priority="277">
      <formula>$C$229=""</formula>
    </cfRule>
  </conditionalFormatting>
  <conditionalFormatting sqref="M227">
    <cfRule type="expression" dxfId="750" priority="271">
      <formula>$E$226="No"</formula>
    </cfRule>
    <cfRule type="expression" dxfId="749" priority="274">
      <formula>AND($I227="Credit Memo",$K227="Corporate Office")</formula>
    </cfRule>
    <cfRule type="expression" dxfId="748" priority="275">
      <formula>AND($K227="Corporate Office",$I227="Check")</formula>
    </cfRule>
  </conditionalFormatting>
  <conditionalFormatting sqref="G233">
    <cfRule type="expression" dxfId="747" priority="272">
      <formula>$E$226="No"</formula>
    </cfRule>
    <cfRule type="expression" dxfId="746" priority="273">
      <formula>$E$226="Yes"</formula>
    </cfRule>
  </conditionalFormatting>
  <conditionalFormatting sqref="K245">
    <cfRule type="cellIs" dxfId="745" priority="134" operator="equal">
      <formula>"Rate cannot be greater than the Prepaid Rate % of Sales"</formula>
    </cfRule>
    <cfRule type="cellIs" dxfId="744" priority="135" operator="equal">
      <formula>"Recommended NCI is 1%"</formula>
    </cfRule>
  </conditionalFormatting>
  <conditionalFormatting sqref="E240">
    <cfRule type="expression" dxfId="743" priority="131">
      <formula>$C$229=""</formula>
    </cfRule>
    <cfRule type="expression" dxfId="742" priority="133">
      <formula>$C$229="Yes"</formula>
    </cfRule>
  </conditionalFormatting>
  <conditionalFormatting sqref="E241">
    <cfRule type="expression" dxfId="741" priority="130">
      <formula>$C$229=""</formula>
    </cfRule>
    <cfRule type="expression" dxfId="740" priority="132">
      <formula>$C$229="Yes"</formula>
    </cfRule>
  </conditionalFormatting>
  <conditionalFormatting sqref="E237">
    <cfRule type="expression" dxfId="739" priority="128">
      <formula>$C$229=""</formula>
    </cfRule>
    <cfRule type="expression" dxfId="738" priority="129">
      <formula>$C$229="Yes"</formula>
    </cfRule>
  </conditionalFormatting>
  <conditionalFormatting sqref="E238">
    <cfRule type="expression" dxfId="737" priority="126">
      <formula>OR($E$226="No",$C$229="Yes")</formula>
    </cfRule>
    <cfRule type="expression" dxfId="736" priority="127">
      <formula>$C$229=""</formula>
    </cfRule>
  </conditionalFormatting>
  <conditionalFormatting sqref="M238">
    <cfRule type="expression" dxfId="735" priority="121">
      <formula>$E$226="No"</formula>
    </cfRule>
    <cfRule type="expression" dxfId="734" priority="124">
      <formula>AND($I238="Credit Memo",$K238="Corporate Office")</formula>
    </cfRule>
    <cfRule type="expression" dxfId="733" priority="125">
      <formula>AND($K238="Corporate Office",$I238="Check")</formula>
    </cfRule>
  </conditionalFormatting>
  <conditionalFormatting sqref="G244">
    <cfRule type="expression" dxfId="732" priority="122">
      <formula>$E$226="No"</formula>
    </cfRule>
    <cfRule type="expression" dxfId="731" priority="123">
      <formula>$E$226="Yes"</formula>
    </cfRule>
  </conditionalFormatting>
  <conditionalFormatting sqref="K256">
    <cfRule type="cellIs" dxfId="730" priority="119" operator="equal">
      <formula>"Rate cannot be greater than the Prepaid Rate % of Sales"</formula>
    </cfRule>
    <cfRule type="cellIs" dxfId="729" priority="120" operator="equal">
      <formula>"Recommended NCI is 1%"</formula>
    </cfRule>
  </conditionalFormatting>
  <conditionalFormatting sqref="E251">
    <cfRule type="expression" dxfId="728" priority="116">
      <formula>$C$229=""</formula>
    </cfRule>
    <cfRule type="expression" dxfId="727" priority="118">
      <formula>$C$229="Yes"</formula>
    </cfRule>
  </conditionalFormatting>
  <conditionalFormatting sqref="E252">
    <cfRule type="expression" dxfId="726" priority="115">
      <formula>$C$229=""</formula>
    </cfRule>
    <cfRule type="expression" dxfId="725" priority="117">
      <formula>$C$229="Yes"</formula>
    </cfRule>
  </conditionalFormatting>
  <conditionalFormatting sqref="E248">
    <cfRule type="expression" dxfId="724" priority="113">
      <formula>$C$229=""</formula>
    </cfRule>
    <cfRule type="expression" dxfId="723" priority="114">
      <formula>$C$229="Yes"</formula>
    </cfRule>
  </conditionalFormatting>
  <conditionalFormatting sqref="E249">
    <cfRule type="expression" dxfId="722" priority="111">
      <formula>OR($E$226="No",$C$229="Yes")</formula>
    </cfRule>
    <cfRule type="expression" dxfId="721" priority="112">
      <formula>$C$229=""</formula>
    </cfRule>
  </conditionalFormatting>
  <conditionalFormatting sqref="M249">
    <cfRule type="expression" dxfId="720" priority="106">
      <formula>$E$226="No"</formula>
    </cfRule>
    <cfRule type="expression" dxfId="719" priority="109">
      <formula>AND($I249="Credit Memo",$K249="Corporate Office")</formula>
    </cfRule>
    <cfRule type="expression" dxfId="718" priority="110">
      <formula>AND($K249="Corporate Office",$I249="Check")</formula>
    </cfRule>
  </conditionalFormatting>
  <conditionalFormatting sqref="G255">
    <cfRule type="expression" dxfId="717" priority="107">
      <formula>$E$226="No"</formula>
    </cfRule>
    <cfRule type="expression" dxfId="716" priority="108">
      <formula>$E$226="Yes"</formula>
    </cfRule>
  </conditionalFormatting>
  <conditionalFormatting sqref="K267">
    <cfRule type="cellIs" dxfId="715" priority="104" operator="equal">
      <formula>"Rate cannot be greater than the Prepaid Rate % of Sales"</formula>
    </cfRule>
    <cfRule type="cellIs" dxfId="714" priority="105" operator="equal">
      <formula>"Recommended NCI is 1%"</formula>
    </cfRule>
  </conditionalFormatting>
  <conditionalFormatting sqref="E262">
    <cfRule type="expression" dxfId="713" priority="101">
      <formula>$C$229=""</formula>
    </cfRule>
    <cfRule type="expression" dxfId="712" priority="103">
      <formula>$C$229="Yes"</formula>
    </cfRule>
  </conditionalFormatting>
  <conditionalFormatting sqref="E263">
    <cfRule type="expression" dxfId="711" priority="100">
      <formula>$C$229=""</formula>
    </cfRule>
    <cfRule type="expression" dxfId="710" priority="102">
      <formula>$C$229="Yes"</formula>
    </cfRule>
  </conditionalFormatting>
  <conditionalFormatting sqref="E259">
    <cfRule type="expression" dxfId="709" priority="98">
      <formula>$C$229=""</formula>
    </cfRule>
    <cfRule type="expression" dxfId="708" priority="99">
      <formula>$C$229="Yes"</formula>
    </cfRule>
  </conditionalFormatting>
  <conditionalFormatting sqref="E260">
    <cfRule type="expression" dxfId="707" priority="96">
      <formula>OR($E$226="No",$C$229="Yes")</formula>
    </cfRule>
    <cfRule type="expression" dxfId="706" priority="97">
      <formula>$C$229=""</formula>
    </cfRule>
  </conditionalFormatting>
  <conditionalFormatting sqref="M260">
    <cfRule type="expression" dxfId="705" priority="91">
      <formula>$E$226="No"</formula>
    </cfRule>
    <cfRule type="expression" dxfId="704" priority="94">
      <formula>AND($I260="Credit Memo",$K260="Corporate Office")</formula>
    </cfRule>
    <cfRule type="expression" dxfId="703" priority="95">
      <formula>AND($K260="Corporate Office",$I260="Check")</formula>
    </cfRule>
  </conditionalFormatting>
  <conditionalFormatting sqref="G266">
    <cfRule type="expression" dxfId="702" priority="92">
      <formula>$E$226="No"</formula>
    </cfRule>
    <cfRule type="expression" dxfId="701" priority="93">
      <formula>$E$226="Yes"</formula>
    </cfRule>
  </conditionalFormatting>
  <conditionalFormatting sqref="K278">
    <cfRule type="cellIs" dxfId="700" priority="89" operator="equal">
      <formula>"Rate cannot be greater than the Prepaid Rate % of Sales"</formula>
    </cfRule>
    <cfRule type="cellIs" dxfId="699" priority="90" operator="equal">
      <formula>"Recommended NCI is 1%"</formula>
    </cfRule>
  </conditionalFormatting>
  <conditionalFormatting sqref="E273">
    <cfRule type="expression" dxfId="698" priority="86">
      <formula>$C$229=""</formula>
    </cfRule>
    <cfRule type="expression" dxfId="697" priority="88">
      <formula>$C$229="Yes"</formula>
    </cfRule>
  </conditionalFormatting>
  <conditionalFormatting sqref="E274">
    <cfRule type="expression" dxfId="696" priority="85">
      <formula>$C$229=""</formula>
    </cfRule>
    <cfRule type="expression" dxfId="695" priority="87">
      <formula>$C$229="Yes"</formula>
    </cfRule>
  </conditionalFormatting>
  <conditionalFormatting sqref="E270">
    <cfRule type="expression" dxfId="694" priority="83">
      <formula>$C$229=""</formula>
    </cfRule>
    <cfRule type="expression" dxfId="693" priority="84">
      <formula>$C$229="Yes"</formula>
    </cfRule>
  </conditionalFormatting>
  <conditionalFormatting sqref="E271">
    <cfRule type="expression" dxfId="692" priority="81">
      <formula>OR($E$226="No",$C$229="Yes")</formula>
    </cfRule>
    <cfRule type="expression" dxfId="691" priority="82">
      <formula>$C$229=""</formula>
    </cfRule>
  </conditionalFormatting>
  <conditionalFormatting sqref="M271">
    <cfRule type="expression" dxfId="690" priority="76">
      <formula>$E$226="No"</formula>
    </cfRule>
    <cfRule type="expression" dxfId="689" priority="79">
      <formula>AND($I271="Credit Memo",$K271="Corporate Office")</formula>
    </cfRule>
    <cfRule type="expression" dxfId="688" priority="80">
      <formula>AND($K271="Corporate Office",$I271="Check")</formula>
    </cfRule>
  </conditionalFormatting>
  <conditionalFormatting sqref="G277">
    <cfRule type="expression" dxfId="687" priority="77">
      <formula>$E$226="No"</formula>
    </cfRule>
    <cfRule type="expression" dxfId="686" priority="78">
      <formula>$E$226="Yes"</formula>
    </cfRule>
  </conditionalFormatting>
  <conditionalFormatting sqref="K289">
    <cfRule type="cellIs" dxfId="685" priority="74" operator="equal">
      <formula>"Rate cannot be greater than the Prepaid Rate % of Sales"</formula>
    </cfRule>
    <cfRule type="cellIs" dxfId="684" priority="75" operator="equal">
      <formula>"Recommended NCI is 1%"</formula>
    </cfRule>
  </conditionalFormatting>
  <conditionalFormatting sqref="E284">
    <cfRule type="expression" dxfId="683" priority="71">
      <formula>$C$229=""</formula>
    </cfRule>
    <cfRule type="expression" dxfId="682" priority="73">
      <formula>$C$229="Yes"</formula>
    </cfRule>
  </conditionalFormatting>
  <conditionalFormatting sqref="E285">
    <cfRule type="expression" dxfId="681" priority="70">
      <formula>$C$229=""</formula>
    </cfRule>
    <cfRule type="expression" dxfId="680" priority="72">
      <formula>$C$229="Yes"</formula>
    </cfRule>
  </conditionalFormatting>
  <conditionalFormatting sqref="E281">
    <cfRule type="expression" dxfId="679" priority="68">
      <formula>$C$229=""</formula>
    </cfRule>
    <cfRule type="expression" dxfId="678" priority="69">
      <formula>$C$229="Yes"</formula>
    </cfRule>
  </conditionalFormatting>
  <conditionalFormatting sqref="E282">
    <cfRule type="expression" dxfId="677" priority="66">
      <formula>OR($E$226="No",$C$229="Yes")</formula>
    </cfRule>
    <cfRule type="expression" dxfId="676" priority="67">
      <formula>$C$229=""</formula>
    </cfRule>
  </conditionalFormatting>
  <conditionalFormatting sqref="M282">
    <cfRule type="expression" dxfId="675" priority="61">
      <formula>$E$226="No"</formula>
    </cfRule>
    <cfRule type="expression" dxfId="674" priority="64">
      <formula>AND($I282="Credit Memo",$K282="Corporate Office")</formula>
    </cfRule>
    <cfRule type="expression" dxfId="673" priority="65">
      <formula>AND($K282="Corporate Office",$I282="Check")</formula>
    </cfRule>
  </conditionalFormatting>
  <conditionalFormatting sqref="G288">
    <cfRule type="expression" dxfId="672" priority="62">
      <formula>$E$226="No"</formula>
    </cfRule>
    <cfRule type="expression" dxfId="671" priority="63">
      <formula>$E$226="Yes"</formula>
    </cfRule>
  </conditionalFormatting>
  <conditionalFormatting sqref="K300">
    <cfRule type="cellIs" dxfId="670" priority="59" operator="equal">
      <formula>"Rate cannot be greater than the Prepaid Rate % of Sales"</formula>
    </cfRule>
    <cfRule type="cellIs" dxfId="669" priority="60" operator="equal">
      <formula>"Recommended NCI is 1%"</formula>
    </cfRule>
  </conditionalFormatting>
  <conditionalFormatting sqref="E295">
    <cfRule type="expression" dxfId="668" priority="56">
      <formula>$C$229=""</formula>
    </cfRule>
    <cfRule type="expression" dxfId="667" priority="58">
      <formula>$C$229="Yes"</formula>
    </cfRule>
  </conditionalFormatting>
  <conditionalFormatting sqref="E296">
    <cfRule type="expression" dxfId="666" priority="55">
      <formula>$C$229=""</formula>
    </cfRule>
    <cfRule type="expression" dxfId="665" priority="57">
      <formula>$C$229="Yes"</formula>
    </cfRule>
  </conditionalFormatting>
  <conditionalFormatting sqref="E292">
    <cfRule type="expression" dxfId="664" priority="53">
      <formula>$C$229=""</formula>
    </cfRule>
    <cfRule type="expression" dxfId="663" priority="54">
      <formula>$C$229="Yes"</formula>
    </cfRule>
  </conditionalFormatting>
  <conditionalFormatting sqref="E293">
    <cfRule type="expression" dxfId="662" priority="51">
      <formula>OR($E$226="No",$C$229="Yes")</formula>
    </cfRule>
    <cfRule type="expression" dxfId="661" priority="52">
      <formula>$C$229=""</formula>
    </cfRule>
  </conditionalFormatting>
  <conditionalFormatting sqref="M293">
    <cfRule type="expression" dxfId="660" priority="46">
      <formula>$E$226="No"</formula>
    </cfRule>
    <cfRule type="expression" dxfId="659" priority="49">
      <formula>AND($I293="Credit Memo",$K293="Corporate Office")</formula>
    </cfRule>
    <cfRule type="expression" dxfId="658" priority="50">
      <formula>AND($K293="Corporate Office",$I293="Check")</formula>
    </cfRule>
  </conditionalFormatting>
  <conditionalFormatting sqref="G299">
    <cfRule type="expression" dxfId="657" priority="47">
      <formula>$E$226="No"</formula>
    </cfRule>
    <cfRule type="expression" dxfId="656" priority="48">
      <formula>$E$226="Yes"</formula>
    </cfRule>
  </conditionalFormatting>
  <conditionalFormatting sqref="K311">
    <cfRule type="cellIs" dxfId="655" priority="44" operator="equal">
      <formula>"Rate cannot be greater than the Prepaid Rate % of Sales"</formula>
    </cfRule>
    <cfRule type="cellIs" dxfId="654" priority="45" operator="equal">
      <formula>"Recommended NCI is 1%"</formula>
    </cfRule>
  </conditionalFormatting>
  <conditionalFormatting sqref="E306">
    <cfRule type="expression" dxfId="653" priority="41">
      <formula>$C$229=""</formula>
    </cfRule>
    <cfRule type="expression" dxfId="652" priority="43">
      <formula>$C$229="Yes"</formula>
    </cfRule>
  </conditionalFormatting>
  <conditionalFormatting sqref="E307">
    <cfRule type="expression" dxfId="651" priority="40">
      <formula>$C$229=""</formula>
    </cfRule>
    <cfRule type="expression" dxfId="650" priority="42">
      <formula>$C$229="Yes"</formula>
    </cfRule>
  </conditionalFormatting>
  <conditionalFormatting sqref="E303">
    <cfRule type="expression" dxfId="649" priority="38">
      <formula>$C$229=""</formula>
    </cfRule>
    <cfRule type="expression" dxfId="648" priority="39">
      <formula>$C$229="Yes"</formula>
    </cfRule>
  </conditionalFormatting>
  <conditionalFormatting sqref="E304">
    <cfRule type="expression" dxfId="647" priority="36">
      <formula>OR($E$226="No",$C$229="Yes")</formula>
    </cfRule>
    <cfRule type="expression" dxfId="646" priority="37">
      <formula>$C$229=""</formula>
    </cfRule>
  </conditionalFormatting>
  <conditionalFormatting sqref="M304">
    <cfRule type="expression" dxfId="645" priority="31">
      <formula>$E$226="No"</formula>
    </cfRule>
    <cfRule type="expression" dxfId="644" priority="34">
      <formula>AND($I304="Credit Memo",$K304="Corporate Office")</formula>
    </cfRule>
    <cfRule type="expression" dxfId="643" priority="35">
      <formula>AND($K304="Corporate Office",$I304="Check")</formula>
    </cfRule>
  </conditionalFormatting>
  <conditionalFormatting sqref="G310">
    <cfRule type="expression" dxfId="642" priority="32">
      <formula>$E$226="No"</formula>
    </cfRule>
    <cfRule type="expression" dxfId="641" priority="33">
      <formula>$E$226="Yes"</formula>
    </cfRule>
  </conditionalFormatting>
  <conditionalFormatting sqref="K322">
    <cfRule type="cellIs" dxfId="640" priority="29" operator="equal">
      <formula>"Rate cannot be greater than the Prepaid Rate % of Sales"</formula>
    </cfRule>
    <cfRule type="cellIs" dxfId="639" priority="30" operator="equal">
      <formula>"Recommended NCI is 1%"</formula>
    </cfRule>
  </conditionalFormatting>
  <conditionalFormatting sqref="E317">
    <cfRule type="expression" dxfId="638" priority="26">
      <formula>$C$229=""</formula>
    </cfRule>
    <cfRule type="expression" dxfId="637" priority="28">
      <formula>$C$229="Yes"</formula>
    </cfRule>
  </conditionalFormatting>
  <conditionalFormatting sqref="E318">
    <cfRule type="expression" dxfId="636" priority="25">
      <formula>$C$229=""</formula>
    </cfRule>
    <cfRule type="expression" dxfId="635" priority="27">
      <formula>$C$229="Yes"</formula>
    </cfRule>
  </conditionalFormatting>
  <conditionalFormatting sqref="E314">
    <cfRule type="expression" dxfId="634" priority="23">
      <formula>$C$229=""</formula>
    </cfRule>
    <cfRule type="expression" dxfId="633" priority="24">
      <formula>$C$229="Yes"</formula>
    </cfRule>
  </conditionalFormatting>
  <conditionalFormatting sqref="E315">
    <cfRule type="expression" dxfId="632" priority="21">
      <formula>OR($E$226="No",$C$229="Yes")</formula>
    </cfRule>
    <cfRule type="expression" dxfId="631" priority="22">
      <formula>$C$229=""</formula>
    </cfRule>
  </conditionalFormatting>
  <conditionalFormatting sqref="M315">
    <cfRule type="expression" dxfId="630" priority="16">
      <formula>$E$226="No"</formula>
    </cfRule>
    <cfRule type="expression" dxfId="629" priority="19">
      <formula>AND($I315="Credit Memo",$K315="Corporate Office")</formula>
    </cfRule>
    <cfRule type="expression" dxfId="628" priority="20">
      <formula>AND($K315="Corporate Office",$I315="Check")</formula>
    </cfRule>
  </conditionalFormatting>
  <conditionalFormatting sqref="G321">
    <cfRule type="expression" dxfId="627" priority="17">
      <formula>$E$226="No"</formula>
    </cfRule>
    <cfRule type="expression" dxfId="626" priority="18">
      <formula>$E$226="Yes"</formula>
    </cfRule>
  </conditionalFormatting>
  <conditionalFormatting sqref="K333">
    <cfRule type="cellIs" dxfId="625" priority="14" operator="equal">
      <formula>"Rate cannot be greater than the Prepaid Rate % of Sales"</formula>
    </cfRule>
    <cfRule type="cellIs" dxfId="624" priority="15" operator="equal">
      <formula>"Recommended NCI is 1%"</formula>
    </cfRule>
  </conditionalFormatting>
  <conditionalFormatting sqref="E328">
    <cfRule type="expression" dxfId="623" priority="11">
      <formula>$C$229=""</formula>
    </cfRule>
    <cfRule type="expression" dxfId="622" priority="13">
      <formula>$C$229="Yes"</formula>
    </cfRule>
  </conditionalFormatting>
  <conditionalFormatting sqref="E329">
    <cfRule type="expression" dxfId="621" priority="10">
      <formula>$C$229=""</formula>
    </cfRule>
    <cfRule type="expression" dxfId="620" priority="12">
      <formula>$C$229="Yes"</formula>
    </cfRule>
  </conditionalFormatting>
  <conditionalFormatting sqref="E325">
    <cfRule type="expression" dxfId="619" priority="8">
      <formula>$C$229=""</formula>
    </cfRule>
    <cfRule type="expression" dxfId="618" priority="9">
      <formula>$C$229="Yes"</formula>
    </cfRule>
  </conditionalFormatting>
  <conditionalFormatting sqref="E326">
    <cfRule type="expression" dxfId="617" priority="6">
      <formula>OR($E$226="No",$C$229="Yes")</formula>
    </cfRule>
    <cfRule type="expression" dxfId="616" priority="7">
      <formula>$C$229=""</formula>
    </cfRule>
  </conditionalFormatting>
  <conditionalFormatting sqref="M326">
    <cfRule type="expression" dxfId="615" priority="1">
      <formula>$E$226="No"</formula>
    </cfRule>
    <cfRule type="expression" dxfId="614" priority="4">
      <formula>AND($I326="Credit Memo",$K326="Corporate Office")</formula>
    </cfRule>
    <cfRule type="expression" dxfId="613" priority="5">
      <formula>AND($K326="Corporate Office",$I326="Check")</formula>
    </cfRule>
  </conditionalFormatting>
  <conditionalFormatting sqref="G332">
    <cfRule type="expression" dxfId="612" priority="2">
      <formula>$E$226="No"</formula>
    </cfRule>
    <cfRule type="expression" dxfId="611" priority="3">
      <formula>$E$226="Yes"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G233 G321 G244 G255 G266 G277 G288 G299 G310 G33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5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57" id="{CC77D9D5-08D0-497D-857C-05FC5404FFA2}">
            <xm:f>Welcome!$D$10&lt;&gt;"MDA"</xm:f>
            <x14:dxf>
              <fill>
                <patternFill>
                  <bgColor rgb="FFFFFF00"/>
                </patternFill>
              </fill>
            </x14:dxf>
          </x14:cfRule>
          <x14:cfRule type="expression" priority="658"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03" id="{6388F6F4-BC96-4A22-B9C9-C66819C9AEA3}">
            <xm:f>AND($E$195&lt;&gt;"Please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0" id="{C0212BBB-8B7C-4571-A1F7-10E9FF4027C1}">
            <xm:f>AND($E$195&lt;&gt;"Please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597" id="{D791997E-92B7-4CA6-A598-E899348E35B6}">
            <xm:f>AND($E$195&lt;&gt;"Please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594" id="{3BC8ABD1-0ECC-406D-89A2-2AD1E7A7DB69}">
            <xm:f>AND($E$195&lt;&gt;"Please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593" id="{15852C53-F0E0-47DF-9A9A-EF8E54D13288}">
            <xm:f>AND($E$195&lt;&gt;"Please Select",Welcome!$D$16=5,$C$194&lt;&gt;"Yes",$C$194&lt;&gt;"Yes")</xm:f>
            <x14:dxf>
              <fill>
                <patternFill>
                  <bgColor rgb="FFFFFF00"/>
                </patternFill>
              </fill>
            </x14:dxf>
          </x14:cfRule>
          <xm:sqref>K202 M202</xm:sqref>
        </x14:conditionalFormatting>
        <x14:conditionalFormatting xmlns:xm="http://schemas.microsoft.com/office/excel/2006/main">
          <x14:cfRule type="expression" priority="518" id="{87C58F1A-CF07-46D3-9FF3-B2F7FCB19C35}">
            <xm:f>AND($E$207&lt;&gt;"Please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17" id="{29F73B7C-9811-4DE8-B385-FC7BF69CBCCD}">
            <xm:f>AND($E$207&lt;&gt;"Please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16" id="{C33F5F17-4C9C-43D2-9ACA-566547147BF3}">
            <xm:f>AND($E$207&lt;&gt;"Please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15" id="{29C0CDC8-ACFA-4514-9241-2D2B76126D65}">
            <xm:f>AND($E$207&lt;&gt;"Please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14" id="{1E688AE0-8ED8-41BE-87AF-B2FDB944F2F4}">
            <xm:f>AND($E$207&lt;&gt;"Please Select",Welcome!$D$16=5,$C$206&lt;&gt;"Yes")</xm:f>
            <x14:dxf>
              <fill>
                <patternFill>
                  <bgColor rgb="FFFFFF00"/>
                </patternFill>
              </fill>
            </x14:dxf>
          </x14:cfRule>
          <xm:sqref>K214 M214</xm:sqref>
        </x14:conditionalFormatting>
      </x14:conditionalFormattings>
    </ext>
    <ext xmlns:x14="http://schemas.microsoft.com/office/spreadsheetml/2009/9/main" uri="{CCE6A557-97BC-4b89-ADB6-D9C93CAAB3DF}">
      <x14:dataValidations xmlns:xm="http://schemas.microsoft.com/office/excel/2006/main" count="1">
        <x14:dataValidation type="date" operator="lessThanOrEqual" allowBlank="1" showInputMessage="1" showErrorMessage="1" xr:uid="{84308CB2-BA3F-4B5E-B09E-54C1608BCB03}">
          <x14:formula1>
            <xm:f>'Required Info to Submit'!$F$17</xm:f>
          </x14:formula1>
          <xm:sqref>E17 E59 E73 E87 E101 E187 E115 E123 E131 E139 E147 E155 E163 E171 E179 E198 E210 E222 E45 E31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39" t="s">
        <v>210</v>
      </c>
      <c r="D2" s="1639"/>
      <c r="E2" s="1639"/>
      <c r="F2" s="438"/>
      <c r="G2" s="172"/>
      <c r="H2" s="172"/>
      <c r="I2" s="172"/>
      <c r="J2" s="172"/>
      <c r="K2" s="172"/>
      <c r="L2" s="175"/>
    </row>
    <row r="3" spans="2:23" x14ac:dyDescent="0.25">
      <c r="B3" s="178"/>
      <c r="C3" s="1644" t="s">
        <v>1166</v>
      </c>
      <c r="D3" s="1645"/>
      <c r="E3" s="323">
        <f>Welcome!$D$10</f>
        <v>0</v>
      </c>
      <c r="F3" s="326"/>
      <c r="G3" s="410" t="s">
        <v>110</v>
      </c>
      <c r="H3" s="1642" t="str">
        <f>IFERROR(VLOOKUP($H$4,'Market Geography'!$D:$G,4,FALSE),"Select Market")</f>
        <v>Select Market</v>
      </c>
      <c r="I3" s="1642"/>
      <c r="J3" s="1642"/>
      <c r="K3" s="1643"/>
      <c r="L3" s="179"/>
    </row>
    <row r="4" spans="2:23" x14ac:dyDescent="0.25">
      <c r="B4" s="178"/>
      <c r="C4" s="1631" t="s">
        <v>1167</v>
      </c>
      <c r="D4" s="1632"/>
      <c r="E4" s="292" t="str">
        <f>Welcome!$D$16</f>
        <v>Select Term</v>
      </c>
      <c r="F4" s="439"/>
      <c r="G4" s="411" t="s">
        <v>846</v>
      </c>
      <c r="H4" s="1627">
        <f>Welcome!$D$4</f>
        <v>0</v>
      </c>
      <c r="I4" s="1627"/>
      <c r="J4" s="1627"/>
      <c r="K4" s="1628"/>
      <c r="L4" s="179"/>
    </row>
    <row r="5" spans="2:23" x14ac:dyDescent="0.25">
      <c r="B5" s="178"/>
      <c r="C5" s="1631" t="s">
        <v>1172</v>
      </c>
      <c r="D5" s="1632"/>
      <c r="E5" s="143">
        <f>'PIM Model'!$G$31</f>
        <v>0</v>
      </c>
      <c r="F5" s="440"/>
      <c r="G5" s="411" t="s">
        <v>107</v>
      </c>
      <c r="H5" s="1627" t="str">
        <f>'Multi-Customer'!$S$49</f>
        <v>Enter Customer(s)</v>
      </c>
      <c r="I5" s="1627"/>
      <c r="J5" s="1627"/>
      <c r="K5" s="1628"/>
      <c r="L5" s="179"/>
    </row>
    <row r="6" spans="2:23" x14ac:dyDescent="0.25">
      <c r="B6" s="178"/>
      <c r="C6" s="1631" t="s">
        <v>1173</v>
      </c>
      <c r="D6" s="1632"/>
      <c r="E6" s="144">
        <f>'PIM Model'!$E$6</f>
        <v>0</v>
      </c>
      <c r="F6" s="326"/>
      <c r="G6" s="411" t="s">
        <v>1180</v>
      </c>
      <c r="H6" s="1627" t="str">
        <f>IF('Multi-Customer'!$AH$40 = "MULTIPLE MENU TYPES","MULTIPLE TYPES",'Multi-Customer'!$AH$40)</f>
        <v>MULTIPLE TYPES</v>
      </c>
      <c r="I6" s="1627"/>
      <c r="J6" s="1627"/>
      <c r="K6" s="1628"/>
      <c r="L6" s="179"/>
      <c r="R6" s="441"/>
    </row>
    <row r="7" spans="2:23" ht="15.75" thickBot="1" x14ac:dyDescent="0.3">
      <c r="B7" s="178"/>
      <c r="C7" s="1633" t="s">
        <v>1174</v>
      </c>
      <c r="D7" s="1634"/>
      <c r="E7" s="324">
        <f>IFERROR('PIM Ranges'!$AU$3,0)</f>
        <v>0</v>
      </c>
      <c r="F7" s="177"/>
      <c r="G7" s="412" t="s">
        <v>1175</v>
      </c>
      <c r="H7" s="1629" t="s">
        <v>206</v>
      </c>
      <c r="I7" s="1629"/>
      <c r="J7" s="1629"/>
      <c r="K7" s="1630"/>
      <c r="L7" s="179"/>
      <c r="P7" s="177"/>
      <c r="Q7" s="153"/>
      <c r="R7" s="442"/>
      <c r="S7" s="134"/>
      <c r="T7" s="153"/>
      <c r="U7" s="177"/>
      <c r="V7" s="153"/>
      <c r="W7" s="177"/>
    </row>
    <row r="8" spans="2:23" ht="13.9" customHeight="1" x14ac:dyDescent="0.25">
      <c r="B8" s="178"/>
      <c r="D8" s="136"/>
      <c r="E8" s="1568"/>
      <c r="F8" s="1568"/>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35" t="s">
        <v>849</v>
      </c>
      <c r="J10" s="163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36" t="str">
        <f>IFERROR($E11/$E$5,"")</f>
        <v/>
      </c>
      <c r="J11" s="1636"/>
      <c r="K11" s="245"/>
      <c r="L11" s="179"/>
      <c r="R11" s="441"/>
    </row>
    <row r="12" spans="2:23" ht="36" customHeight="1" x14ac:dyDescent="0.25">
      <c r="B12" s="178"/>
      <c r="C12" s="244"/>
      <c r="D12" s="1637" t="s">
        <v>680</v>
      </c>
      <c r="E12" s="163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36" t="str">
        <f>IFERROR(E13/E5,"")</f>
        <v/>
      </c>
      <c r="J13" s="1636"/>
      <c r="K13" s="245"/>
      <c r="L13" s="179"/>
    </row>
    <row r="14" spans="2:23" s="669" customFormat="1" ht="36.6" customHeight="1" x14ac:dyDescent="0.25">
      <c r="B14" s="178"/>
      <c r="C14" s="244"/>
      <c r="D14" s="1637" t="s">
        <v>1106</v>
      </c>
      <c r="E14" s="163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36" t="str">
        <f>IFERROR($E15/$E$5,"")</f>
        <v/>
      </c>
      <c r="J15" s="1636"/>
      <c r="K15" s="245"/>
      <c r="L15" s="179"/>
    </row>
    <row r="16" spans="2:23" ht="26.45" customHeight="1" x14ac:dyDescent="0.25">
      <c r="B16" s="178"/>
      <c r="C16" s="244"/>
      <c r="D16" s="1626" t="s">
        <v>682</v>
      </c>
      <c r="E16" s="162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36" t="str">
        <f>IFERROR($E17/$E$5,"")</f>
        <v/>
      </c>
      <c r="J17" s="1636"/>
      <c r="K17" s="245"/>
      <c r="L17" s="179"/>
    </row>
    <row r="18" spans="2:12" ht="25.9" customHeight="1" x14ac:dyDescent="0.25">
      <c r="B18" s="178"/>
      <c r="C18" s="244"/>
      <c r="D18" s="1626" t="s">
        <v>681</v>
      </c>
      <c r="E18" s="163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0" t="str">
        <f>IFERROR($E19/$E$5,"")</f>
        <v/>
      </c>
      <c r="J19" s="164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36" t="str">
        <f>IFERROR($E23/$E$5,"")</f>
        <v/>
      </c>
      <c r="J23" s="1636"/>
      <c r="K23" s="245"/>
      <c r="L23" s="179"/>
    </row>
    <row r="24" spans="2:12" ht="16.149999999999999" customHeight="1" x14ac:dyDescent="0.25">
      <c r="B24" s="178"/>
      <c r="C24" s="244"/>
      <c r="D24" s="1641" t="s">
        <v>886</v>
      </c>
      <c r="E24" s="164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35" t="s">
        <v>849</v>
      </c>
      <c r="J28" s="1635"/>
      <c r="K28" s="245"/>
      <c r="L28" s="179"/>
    </row>
    <row r="29" spans="2:12" ht="25.15" customHeight="1" x14ac:dyDescent="0.25">
      <c r="B29" s="178"/>
      <c r="C29" s="244"/>
      <c r="D29" s="462" t="s">
        <v>221</v>
      </c>
      <c r="E29" s="463">
        <f>IFERROR('EB_CM (Back)'!$F$47,0)</f>
        <v>0</v>
      </c>
      <c r="F29" s="188"/>
      <c r="G29" s="450">
        <f>IFERROR(E29/'PIM Model'!$H$31,0)</f>
        <v>0</v>
      </c>
      <c r="H29" s="188"/>
      <c r="I29" s="1636" t="str">
        <f>IFERROR($E29/$E$5,"")</f>
        <v/>
      </c>
      <c r="J29" s="163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36" t="str">
        <f>IFERROR($E30/$E$5,"")</f>
        <v/>
      </c>
      <c r="J30" s="1636"/>
      <c r="K30" s="245"/>
      <c r="L30" s="179"/>
    </row>
    <row r="31" spans="2:12" ht="27.6" customHeight="1" x14ac:dyDescent="0.25">
      <c r="B31" s="178"/>
      <c r="C31" s="468"/>
      <c r="D31" s="1626" t="s">
        <v>229</v>
      </c>
      <c r="E31" s="162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6"/>
      <c r="E37" s="162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44" t="s">
        <v>1166</v>
      </c>
      <c r="D4" s="1645"/>
      <c r="E4" s="578">
        <f>Welcome!$D$10</f>
        <v>0</v>
      </c>
      <c r="F4" s="139"/>
      <c r="G4" s="410" t="s">
        <v>110</v>
      </c>
      <c r="H4" s="1575" t="str">
        <f>IFERROR(VLOOKUP($H$5,'Market Geography'!$D:$G,4,FALSE),"Select Market")</f>
        <v>Select Market</v>
      </c>
      <c r="I4" s="1576"/>
      <c r="J4" s="1577"/>
      <c r="K4" s="773"/>
      <c r="L4" s="773"/>
      <c r="M4" s="773"/>
      <c r="N4" s="773"/>
      <c r="O4" s="773"/>
      <c r="P4" s="688"/>
      <c r="Q4" s="690"/>
      <c r="R4" s="649"/>
      <c r="S4" s="474"/>
    </row>
    <row r="5" spans="1:31" x14ac:dyDescent="0.25">
      <c r="B5" s="178"/>
      <c r="C5" s="1631" t="s">
        <v>1167</v>
      </c>
      <c r="D5" s="1632"/>
      <c r="E5" s="292" t="str">
        <f>Welcome!$D$16</f>
        <v>Select Term</v>
      </c>
      <c r="F5" s="139"/>
      <c r="G5" s="411" t="s">
        <v>846</v>
      </c>
      <c r="H5" s="1572">
        <f>Welcome!$D$4</f>
        <v>0</v>
      </c>
      <c r="I5" s="1573"/>
      <c r="J5" s="1574"/>
      <c r="K5" s="773"/>
      <c r="L5" s="773"/>
      <c r="M5" s="773"/>
      <c r="N5" s="773"/>
      <c r="O5" s="773"/>
      <c r="P5" s="688"/>
      <c r="Q5" s="690"/>
      <c r="R5" s="649"/>
      <c r="S5" s="474"/>
    </row>
    <row r="6" spans="1:31" x14ac:dyDescent="0.25">
      <c r="B6" s="178"/>
      <c r="C6" s="1631" t="s">
        <v>1172</v>
      </c>
      <c r="D6" s="1632"/>
      <c r="E6" s="293">
        <f>IFERROR('PIM Model'!$G$31,0)</f>
        <v>0</v>
      </c>
      <c r="F6" s="325"/>
      <c r="G6" s="411" t="s">
        <v>107</v>
      </c>
      <c r="H6" s="1572" t="str">
        <f>'Multi-Customer'!$S$49</f>
        <v>Enter Customer(s)</v>
      </c>
      <c r="I6" s="1573"/>
      <c r="J6" s="1574"/>
      <c r="K6" s="773"/>
      <c r="L6" s="773"/>
      <c r="M6" s="773"/>
      <c r="N6" s="773"/>
      <c r="O6" s="773"/>
      <c r="P6" s="688"/>
      <c r="Q6" s="690"/>
      <c r="R6" s="649"/>
      <c r="S6" s="474"/>
    </row>
    <row r="7" spans="1:31" x14ac:dyDescent="0.25">
      <c r="B7" s="178"/>
      <c r="C7" s="1631" t="s">
        <v>1173</v>
      </c>
      <c r="D7" s="1632"/>
      <c r="E7" s="475">
        <f>IFERROR('Variable Costs (Back)'!$K$26,0)</f>
        <v>0</v>
      </c>
      <c r="F7" s="177"/>
      <c r="G7" s="411" t="s">
        <v>1180</v>
      </c>
      <c r="H7" s="1572" t="str">
        <f>'Multi-Customer'!$AH$40</f>
        <v>MULTIPLE TYPES</v>
      </c>
      <c r="I7" s="1573"/>
      <c r="J7" s="1574"/>
      <c r="K7" s="773"/>
      <c r="L7" s="773"/>
      <c r="M7" s="773"/>
      <c r="N7" s="773"/>
      <c r="O7" s="773"/>
      <c r="P7" s="688"/>
      <c r="Q7" s="690"/>
      <c r="R7" s="649"/>
      <c r="S7" s="474"/>
    </row>
    <row r="8" spans="1:31" ht="15.75" thickBot="1" x14ac:dyDescent="0.3">
      <c r="B8" s="178"/>
      <c r="C8" s="1633" t="s">
        <v>1174</v>
      </c>
      <c r="D8" s="1634"/>
      <c r="E8" s="324">
        <f>IFERROR('PIM Ranges'!$AU$3,0)</f>
        <v>0</v>
      </c>
      <c r="F8" s="326"/>
      <c r="G8" s="412" t="s">
        <v>1175</v>
      </c>
      <c r="H8" s="1646" t="s">
        <v>206</v>
      </c>
      <c r="I8" s="1647"/>
      <c r="J8" s="164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55" t="s">
        <v>1138</v>
      </c>
      <c r="R11" s="165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53" t="s">
        <v>1138</v>
      </c>
      <c r="R21" s="1654"/>
      <c r="S21" s="179"/>
      <c r="T21" s="5"/>
      <c r="U21" s="5">
        <f>IFERROR('Agreement Worksheet'!H18/E8,0)</f>
        <v>0</v>
      </c>
    </row>
    <row r="22" spans="2:21" s="1116" customFormat="1" ht="21" customHeight="1" x14ac:dyDescent="0.25">
      <c r="B22" s="178"/>
      <c r="C22" s="244"/>
      <c r="D22" s="1125" t="s">
        <v>1745</v>
      </c>
      <c r="E22" s="1134">
        <f>IFERROR(Incentives!O336*-1,0)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52" t="s">
        <v>229</v>
      </c>
      <c r="E33" s="1652"/>
      <c r="F33" s="1652"/>
      <c r="G33" s="1652"/>
      <c r="H33" s="493"/>
      <c r="I33" s="1651" t="str">
        <f>IF($J$34=0,IF($N$34=0,"","Customer EB % Missing"),IF($N$34=0,"Customer Drops/Wk Missing","Customer EB % &amp; Drops/Wk Missing"))</f>
        <v/>
      </c>
      <c r="J33" s="1651"/>
      <c r="K33" s="1651"/>
      <c r="L33" s="1651"/>
      <c r="M33" s="1651"/>
      <c r="N33" s="165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49" t="s">
        <v>1138</v>
      </c>
      <c r="R38" s="164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50"/>
      <c r="C42" s="1650"/>
      <c r="D42" s="1650"/>
      <c r="N42" s="1589"/>
      <c r="O42" s="1589"/>
      <c r="P42" s="1589"/>
      <c r="Q42" s="1589"/>
      <c r="R42" s="1589"/>
      <c r="S42" s="1589"/>
    </row>
    <row r="43" spans="2:20" x14ac:dyDescent="0.25">
      <c r="S43" s="500"/>
    </row>
  </sheetData>
  <sheetProtection algorithmName="SHA-512" hashValue="6/OxxouhKBV+FDwIpGHhQqX8EJygpdUcExluyY2r/ueKpRDjt3kXwzG7H33Pi2qI0nB/YY02D2B0sKBRLMgJ0g==" saltValue="FDC93b1Y6rHl0GWeaFD4w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J20" sqref="J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61" t="s">
        <v>647</v>
      </c>
      <c r="D2" s="1662"/>
      <c r="E2" s="1662"/>
      <c r="F2" s="1662"/>
      <c r="G2" s="1662"/>
      <c r="H2" s="1662"/>
      <c r="I2" s="1662"/>
      <c r="J2" s="1662"/>
      <c r="K2" s="1662"/>
      <c r="L2" s="1662"/>
      <c r="M2" s="1662"/>
      <c r="N2" s="1662"/>
      <c r="O2" s="1662"/>
      <c r="P2" s="166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64"/>
      <c r="G4" s="1664"/>
      <c r="P4" s="542"/>
      <c r="T4" s="1" t="s">
        <v>482</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842</v>
      </c>
      <c r="F10" s="1664"/>
      <c r="G10" s="1664"/>
      <c r="P10" s="138"/>
    </row>
    <row r="11" spans="3:23" x14ac:dyDescent="0.25">
      <c r="C11" s="137"/>
      <c r="E11" s="136" t="s">
        <v>801</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67" t="str">
        <f>IF(F14="","",F14+(364*IF(OR(Welcome!D16="Select Term",Welcome!D16=""),0,Welcome!D16))+6)</f>
        <v/>
      </c>
      <c r="G17" s="1667"/>
      <c r="O17" s="789"/>
      <c r="P17" s="138"/>
      <c r="Q17" s="619"/>
    </row>
    <row r="18" spans="1:17" ht="13.5" customHeight="1" x14ac:dyDescent="0.25">
      <c r="C18" s="137"/>
      <c r="P18" s="138"/>
    </row>
    <row r="19" spans="1:17" s="673" customFormat="1" ht="14.25" customHeight="1" x14ac:dyDescent="0.25">
      <c r="C19" s="137"/>
      <c r="E19" s="136" t="s">
        <v>1187</v>
      </c>
      <c r="F19" s="1659">
        <f>Welcome!D10</f>
        <v>0</v>
      </c>
      <c r="G19" s="166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4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56" t="s">
        <v>1482</v>
      </c>
      <c r="G44" s="1657"/>
      <c r="H44" s="1658"/>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kic4K4g7qguvQmTG1yO/YbZit1T1RsViM9DQohvl3yk1LCh1ITQSk3wFhZXPwdRJu0o+Camd5uzLeuszdPTEw==" saltValue="5T0OwhizI+NnKndY3YMcq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69" t="s">
        <v>1207</v>
      </c>
      <c r="C2" s="1672"/>
      <c r="D2" s="1672"/>
      <c r="E2" s="1672"/>
      <c r="F2" s="1672"/>
      <c r="G2" s="1672"/>
      <c r="H2" s="1672"/>
      <c r="I2" s="1672"/>
      <c r="J2" s="1673"/>
      <c r="K2" s="757"/>
      <c r="L2" s="757"/>
      <c r="M2" s="1668" t="s">
        <v>1208</v>
      </c>
      <c r="N2" s="1668"/>
      <c r="O2" s="1668"/>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69" t="s">
        <v>1221</v>
      </c>
      <c r="C7" s="1670"/>
      <c r="D7" s="1670"/>
      <c r="E7" s="1670"/>
      <c r="F7" s="1670"/>
      <c r="G7" s="1670"/>
      <c r="H7" s="1670"/>
      <c r="I7" s="167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74" t="s">
        <v>1248</v>
      </c>
      <c r="C15" s="1675"/>
      <c r="D15" s="1675"/>
      <c r="E15" s="1675"/>
      <c r="F15" s="1675"/>
      <c r="G15" s="1675"/>
      <c r="H15" s="1675"/>
      <c r="I15" s="1676"/>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77" t="s">
        <v>1274</v>
      </c>
      <c r="C2" s="1678"/>
      <c r="D2" s="1678"/>
      <c r="E2" s="1678"/>
      <c r="F2" s="1678"/>
      <c r="G2" s="1678"/>
      <c r="H2" s="1678"/>
      <c r="I2" s="1678"/>
      <c r="J2" s="1678"/>
      <c r="K2" s="1678"/>
      <c r="L2" s="1678"/>
      <c r="M2" s="1678"/>
      <c r="N2" s="167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80" t="s">
        <v>1289</v>
      </c>
      <c r="C8" s="1678"/>
      <c r="D8" s="1678"/>
      <c r="E8" s="1678"/>
      <c r="F8" s="1678"/>
      <c r="G8" s="1678"/>
      <c r="H8" s="1678"/>
      <c r="I8" s="1678"/>
      <c r="J8" s="1678"/>
      <c r="K8" s="1678"/>
      <c r="L8" s="1678"/>
      <c r="M8" s="1678"/>
      <c r="N8" s="167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80" t="s">
        <v>1301</v>
      </c>
      <c r="C32" s="1681"/>
      <c r="D32" s="1681"/>
      <c r="E32" s="1681"/>
      <c r="F32" s="1681"/>
      <c r="G32" s="1681"/>
      <c r="H32" s="1681"/>
      <c r="I32" s="1681"/>
      <c r="J32" s="1681"/>
      <c r="K32" s="1681"/>
      <c r="L32" s="1681"/>
      <c r="M32" s="1681"/>
      <c r="N32" s="1681"/>
      <c r="O32" s="168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60" zoomScale="80" zoomScaleNormal="80" workbookViewId="0">
      <selection activeCell="H78" sqref="H78"/>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30.285156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701"/>
      <c r="K1" s="1701"/>
      <c r="L1" s="1701"/>
      <c r="M1" s="1701"/>
      <c r="N1" s="1701"/>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92" t="s">
        <v>1503</v>
      </c>
      <c r="C3" s="1702"/>
      <c r="D3" s="1702"/>
      <c r="E3" s="1702"/>
      <c r="F3" s="1702"/>
      <c r="G3" s="1702"/>
      <c r="H3" s="1702"/>
      <c r="I3" s="1702"/>
      <c r="J3" s="1702"/>
      <c r="K3" s="1702"/>
      <c r="L3" s="1702"/>
      <c r="M3" s="1702"/>
      <c r="N3" s="1702"/>
      <c r="O3" s="1702"/>
      <c r="P3" s="1702"/>
      <c r="Q3" s="1702"/>
      <c r="R3" s="1702"/>
      <c r="S3" s="1702"/>
      <c r="T3" s="1702"/>
      <c r="U3" s="1703"/>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86" t="s">
        <v>1504</v>
      </c>
      <c r="E5" s="1687"/>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88">
        <v>1201</v>
      </c>
      <c r="E7" s="1689"/>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90" t="str">
        <f>AA3</f>
        <v/>
      </c>
      <c r="E9" s="1691"/>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90" t="str">
        <f>AB3</f>
        <v/>
      </c>
      <c r="E11" s="1691"/>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78" t="s">
        <v>649</v>
      </c>
      <c r="E13" s="1679"/>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88" t="s">
        <v>1516</v>
      </c>
      <c r="E15" s="1689"/>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92" t="s">
        <v>1517</v>
      </c>
      <c r="C17" s="1702"/>
      <c r="D17" s="1702"/>
      <c r="E17" s="1702"/>
      <c r="F17" s="1702"/>
      <c r="G17" s="1702"/>
      <c r="H17" s="1702"/>
      <c r="I17" s="1702"/>
      <c r="J17" s="1702"/>
      <c r="K17" s="1702"/>
      <c r="L17" s="1702"/>
      <c r="M17" s="1702"/>
      <c r="N17" s="1702"/>
      <c r="O17" s="1702"/>
      <c r="P17" s="1702"/>
      <c r="Q17" s="1702"/>
      <c r="R17" s="1702"/>
      <c r="S17" s="1702"/>
      <c r="T17" s="1702"/>
      <c r="U17" s="1703"/>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86" t="s">
        <v>1504</v>
      </c>
      <c r="E19" s="1687"/>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88">
        <v>1202</v>
      </c>
      <c r="E21" s="1689"/>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90" t="str">
        <f>AA4</f>
        <v/>
      </c>
      <c r="E23" s="1691"/>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90" t="str">
        <f>AB4</f>
        <v/>
      </c>
      <c r="E25" s="1691"/>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78" t="s">
        <v>649</v>
      </c>
      <c r="E27" s="1679"/>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88" t="s">
        <v>1516</v>
      </c>
      <c r="E29" s="1689"/>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92" t="s">
        <v>1518</v>
      </c>
      <c r="C31" s="1702"/>
      <c r="D31" s="1702"/>
      <c r="E31" s="1702"/>
      <c r="F31" s="1702"/>
      <c r="G31" s="1702"/>
      <c r="H31" s="1702"/>
      <c r="I31" s="1702"/>
      <c r="J31" s="1702"/>
      <c r="K31" s="1702"/>
      <c r="L31" s="1702"/>
      <c r="M31" s="1702"/>
      <c r="N31" s="1702"/>
      <c r="O31" s="1702"/>
      <c r="P31" s="1702"/>
      <c r="Q31" s="1702"/>
      <c r="R31" s="1702"/>
      <c r="S31" s="1702"/>
      <c r="T31" s="1702"/>
      <c r="U31" s="1703"/>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86" t="s">
        <v>1519</v>
      </c>
      <c r="E33" s="1687"/>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88">
        <v>1401</v>
      </c>
      <c r="E35" s="1689"/>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90" t="str">
        <f>AA5</f>
        <v/>
      </c>
      <c r="E37" s="1691"/>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90" t="str">
        <f>AB5</f>
        <v/>
      </c>
      <c r="E39" s="1691"/>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78" t="s">
        <v>649</v>
      </c>
      <c r="E41" s="1679"/>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88" t="s">
        <v>1516</v>
      </c>
      <c r="E43" s="1689"/>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92" t="s">
        <v>1530</v>
      </c>
      <c r="C45" s="1702"/>
      <c r="D45" s="1702"/>
      <c r="E45" s="1702"/>
      <c r="F45" s="1702"/>
      <c r="G45" s="1702"/>
      <c r="H45" s="1702"/>
      <c r="I45" s="1702"/>
      <c r="J45" s="1702"/>
      <c r="K45" s="1702"/>
      <c r="L45" s="1702"/>
      <c r="M45" s="1702"/>
      <c r="N45" s="1702"/>
      <c r="O45" s="1702"/>
      <c r="P45" s="1702"/>
      <c r="Q45" s="1702"/>
      <c r="R45" s="1702"/>
      <c r="S45" s="1702"/>
      <c r="T45" s="1702"/>
      <c r="U45" s="1703"/>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86" t="s">
        <v>1519</v>
      </c>
      <c r="E47" s="1687"/>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88">
        <v>1402</v>
      </c>
      <c r="E49" s="1689"/>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90" t="str">
        <f>AA6</f>
        <v/>
      </c>
      <c r="E51" s="1691"/>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90" t="str">
        <f>AB6</f>
        <v/>
      </c>
      <c r="E53" s="1691"/>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78" t="s">
        <v>649</v>
      </c>
      <c r="E55" s="1679"/>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88" t="s">
        <v>1516</v>
      </c>
      <c r="E57" s="1689"/>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92" t="s">
        <v>1531</v>
      </c>
      <c r="C59" s="1702"/>
      <c r="D59" s="1702"/>
      <c r="E59" s="1702"/>
      <c r="F59" s="1702"/>
      <c r="G59" s="1702"/>
      <c r="H59" s="1702"/>
      <c r="I59" s="1702"/>
      <c r="J59" s="1702"/>
      <c r="K59" s="1702"/>
      <c r="L59" s="1702"/>
      <c r="M59" s="1702"/>
      <c r="N59" s="1702"/>
      <c r="O59" s="1702"/>
      <c r="P59" s="1702"/>
      <c r="Q59" s="1702"/>
      <c r="R59" s="1702"/>
      <c r="S59" s="1702"/>
      <c r="T59" s="1702"/>
      <c r="U59" s="1703"/>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86" t="s">
        <v>1532</v>
      </c>
      <c r="E61" s="1687"/>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88">
        <v>1501</v>
      </c>
      <c r="E63" s="1689"/>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90" t="str">
        <f>AA7</f>
        <v/>
      </c>
      <c r="E65" s="1691"/>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90" t="str">
        <f>AB7</f>
        <v/>
      </c>
      <c r="E67" s="1691"/>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78" t="s">
        <v>649</v>
      </c>
      <c r="E71" s="1679"/>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88" t="s">
        <v>1516</v>
      </c>
      <c r="E73" s="1689"/>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92" t="s">
        <v>1533</v>
      </c>
      <c r="C75" s="1702"/>
      <c r="D75" s="1702"/>
      <c r="E75" s="1702"/>
      <c r="F75" s="1702"/>
      <c r="G75" s="1702"/>
      <c r="H75" s="1702"/>
      <c r="I75" s="1702"/>
      <c r="J75" s="1702"/>
      <c r="K75" s="1702"/>
      <c r="L75" s="1702"/>
      <c r="M75" s="1702"/>
      <c r="N75" s="1702"/>
      <c r="O75" s="1702"/>
      <c r="P75" s="1702"/>
      <c r="Q75" s="1702"/>
      <c r="R75" s="1702"/>
      <c r="S75" s="1702"/>
      <c r="T75" s="1702"/>
      <c r="U75" s="1703"/>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86" t="s">
        <v>1532</v>
      </c>
      <c r="E77" s="1687"/>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88">
        <v>1502</v>
      </c>
      <c r="E79" s="1689"/>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90" t="str">
        <f>AA8</f>
        <v/>
      </c>
      <c r="E81" s="1691"/>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90" t="str">
        <f>AB8</f>
        <v/>
      </c>
      <c r="E83" s="1691"/>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78" t="s">
        <v>649</v>
      </c>
      <c r="E87" s="1679"/>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88" t="s">
        <v>1516</v>
      </c>
      <c r="E89" s="1689"/>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92" t="s">
        <v>1534</v>
      </c>
      <c r="C91" s="1702"/>
      <c r="D91" s="1702"/>
      <c r="E91" s="1702"/>
      <c r="F91" s="1702"/>
      <c r="G91" s="1702"/>
      <c r="H91" s="1702"/>
      <c r="I91" s="1702"/>
      <c r="J91" s="1702"/>
      <c r="K91" s="1702"/>
      <c r="L91" s="1702"/>
      <c r="M91" s="1702"/>
      <c r="N91" s="1702"/>
      <c r="O91" s="1702"/>
      <c r="P91" s="1702"/>
      <c r="Q91" s="1702"/>
      <c r="R91" s="1702"/>
      <c r="S91" s="1702"/>
      <c r="T91" s="1702"/>
      <c r="U91" s="1703"/>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86" t="s">
        <v>1541</v>
      </c>
      <c r="E93" s="1687"/>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88">
        <v>5501</v>
      </c>
      <c r="E95" s="1689"/>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90" t="str">
        <f>AA9</f>
        <v/>
      </c>
      <c r="E97" s="1691"/>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90" t="str">
        <f>AB9</f>
        <v/>
      </c>
      <c r="E99" s="1691"/>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78" t="s">
        <v>649</v>
      </c>
      <c r="E101" s="1679"/>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88" t="s">
        <v>1544</v>
      </c>
      <c r="E103" s="1671"/>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92"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86" t="s">
        <v>1541</v>
      </c>
      <c r="E107" s="1687"/>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88">
        <v>5502</v>
      </c>
      <c r="E109" s="1689"/>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90" t="str">
        <f>AA10</f>
        <v/>
      </c>
      <c r="E111" s="1691"/>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90" t="str">
        <f>AB10</f>
        <v/>
      </c>
      <c r="E113" s="1691"/>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78" t="s">
        <v>649</v>
      </c>
      <c r="E115" s="1679"/>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88" t="s">
        <v>1544</v>
      </c>
      <c r="E117" s="1671"/>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92"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86" t="s">
        <v>1542</v>
      </c>
      <c r="E121" s="1687"/>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88">
        <v>2801</v>
      </c>
      <c r="E123" s="1689"/>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90" t="str">
        <f>AA11</f>
        <v/>
      </c>
      <c r="E125" s="1691"/>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90" t="str">
        <f>AB11</f>
        <v/>
      </c>
      <c r="E127" s="1691"/>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78" t="s">
        <v>649</v>
      </c>
      <c r="E131" s="1679"/>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88" t="s">
        <v>1544</v>
      </c>
      <c r="E133" s="1671"/>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92"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86" t="s">
        <v>1542</v>
      </c>
      <c r="E137" s="1687"/>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88">
        <v>2802</v>
      </c>
      <c r="E139" s="1689"/>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90" t="str">
        <f>AA12</f>
        <v/>
      </c>
      <c r="E141" s="1691"/>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90" t="str">
        <f>AB12</f>
        <v/>
      </c>
      <c r="E143" s="1691"/>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78" t="s">
        <v>649</v>
      </c>
      <c r="E147" s="1679"/>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88" t="s">
        <v>1544</v>
      </c>
      <c r="E149" s="1671"/>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92"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86" t="s">
        <v>1549</v>
      </c>
      <c r="E153" s="1687"/>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88">
        <v>3401</v>
      </c>
      <c r="E155" s="1689"/>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90" t="str">
        <f>AA13</f>
        <v/>
      </c>
      <c r="E157" s="1691"/>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90" t="str">
        <f>AB13</f>
        <v/>
      </c>
      <c r="E159" s="1691"/>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78" t="s">
        <v>649</v>
      </c>
      <c r="E161" s="1679"/>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88" t="s">
        <v>1550</v>
      </c>
      <c r="E163" s="1671"/>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92"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86" t="s">
        <v>1549</v>
      </c>
      <c r="E167" s="1687"/>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88">
        <v>3402</v>
      </c>
      <c r="E169" s="1689"/>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90" t="str">
        <f>AA14</f>
        <v/>
      </c>
      <c r="E171" s="1691"/>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90" t="str">
        <f>AB14</f>
        <v/>
      </c>
      <c r="E173" s="1691"/>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78" t="s">
        <v>649</v>
      </c>
      <c r="E175" s="1679"/>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88" t="s">
        <v>1550</v>
      </c>
      <c r="E177" s="1671"/>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92"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86" t="s">
        <v>1553</v>
      </c>
      <c r="E181" s="1687"/>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88">
        <v>3501</v>
      </c>
      <c r="E183" s="1689"/>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90" t="str">
        <f>AA15</f>
        <v/>
      </c>
      <c r="E185" s="1691"/>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90" t="str">
        <f>AB15</f>
        <v/>
      </c>
      <c r="E187" s="1691"/>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78" t="s">
        <v>649</v>
      </c>
      <c r="E189" s="1679"/>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88" t="s">
        <v>1550</v>
      </c>
      <c r="E191" s="1671"/>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92"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86" t="s">
        <v>1553</v>
      </c>
      <c r="E195" s="1687"/>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88">
        <v>3502</v>
      </c>
      <c r="E197" s="1689"/>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90" t="str">
        <f>AA16</f>
        <v/>
      </c>
      <c r="E199" s="1691"/>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90" t="str">
        <f>AB16</f>
        <v/>
      </c>
      <c r="E201" s="1691"/>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78" t="s">
        <v>649</v>
      </c>
      <c r="E203" s="1679"/>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88" t="s">
        <v>1550</v>
      </c>
      <c r="E205" s="1671"/>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92"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86" t="s">
        <v>1556</v>
      </c>
      <c r="E209" s="1687"/>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88">
        <v>3601</v>
      </c>
      <c r="E211" s="1689"/>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90" t="str">
        <f>AA17</f>
        <v/>
      </c>
      <c r="E213" s="1691"/>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90" t="str">
        <f>AB17</f>
        <v/>
      </c>
      <c r="E215" s="1691"/>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78" t="s">
        <v>649</v>
      </c>
      <c r="E219" s="1679"/>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88" t="s">
        <v>1550</v>
      </c>
      <c r="E221" s="1671"/>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92"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86" t="s">
        <v>1556</v>
      </c>
      <c r="E225" s="1687"/>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88">
        <v>3602</v>
      </c>
      <c r="E227" s="1689"/>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90" t="str">
        <f>AA18</f>
        <v/>
      </c>
      <c r="E229" s="1691"/>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90" t="str">
        <f>AB18</f>
        <v/>
      </c>
      <c r="E231" s="1691"/>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78" t="s">
        <v>649</v>
      </c>
      <c r="E235" s="1679"/>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88" t="s">
        <v>1550</v>
      </c>
      <c r="E237" s="1671"/>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3" t="s">
        <v>1699</v>
      </c>
      <c r="C239" s="1684"/>
      <c r="D239" s="1684"/>
      <c r="E239" s="1684"/>
      <c r="F239" s="1684"/>
      <c r="G239" s="1684"/>
      <c r="H239" s="1684"/>
      <c r="I239" s="1684"/>
      <c r="J239" s="1684"/>
      <c r="K239" s="1684"/>
      <c r="L239" s="1684"/>
      <c r="M239" s="1684"/>
      <c r="N239" s="1684"/>
      <c r="O239" s="1684"/>
      <c r="P239" s="1684"/>
      <c r="Q239" s="1684"/>
      <c r="R239" s="1684"/>
      <c r="S239" s="1684"/>
      <c r="T239" s="1684"/>
      <c r="U239" s="1685"/>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86" t="s">
        <v>1558</v>
      </c>
      <c r="E241" s="1687"/>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88">
        <v>1301</v>
      </c>
      <c r="E243" s="1689"/>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90" t="str">
        <f>AA19</f>
        <v/>
      </c>
      <c r="E245" s="1691"/>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90" t="str">
        <f>AB19</f>
        <v/>
      </c>
      <c r="E247" s="1691"/>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78" t="s">
        <v>649</v>
      </c>
      <c r="E249" s="1679"/>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88" t="s">
        <v>1516</v>
      </c>
      <c r="E251" s="1671"/>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83" t="s">
        <v>1698</v>
      </c>
      <c r="C253" s="1684"/>
      <c r="D253" s="1684"/>
      <c r="E253" s="1684"/>
      <c r="F253" s="1684"/>
      <c r="G253" s="1684"/>
      <c r="H253" s="1684"/>
      <c r="I253" s="1684"/>
      <c r="J253" s="1684"/>
      <c r="K253" s="1684"/>
      <c r="L253" s="1684"/>
      <c r="M253" s="1684"/>
      <c r="N253" s="1684"/>
      <c r="O253" s="1684"/>
      <c r="P253" s="1684"/>
      <c r="Q253" s="1684"/>
      <c r="R253" s="1684"/>
      <c r="S253" s="1684"/>
      <c r="T253" s="1684"/>
      <c r="U253" s="1685"/>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86" t="s">
        <v>1558</v>
      </c>
      <c r="E255" s="1687"/>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88">
        <v>1302</v>
      </c>
      <c r="E257" s="1689"/>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90" t="str">
        <f>AA20</f>
        <v/>
      </c>
      <c r="E259" s="1691"/>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90" t="str">
        <f>AB20</f>
        <v/>
      </c>
      <c r="E261" s="1691"/>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78" t="s">
        <v>649</v>
      </c>
      <c r="E263" s="1679"/>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88" t="s">
        <v>1516</v>
      </c>
      <c r="E265" s="1671"/>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83" t="s">
        <v>1700</v>
      </c>
      <c r="C267" s="1684"/>
      <c r="D267" s="1684"/>
      <c r="E267" s="1684"/>
      <c r="F267" s="1684"/>
      <c r="G267" s="1684"/>
      <c r="H267" s="1684"/>
      <c r="I267" s="1684"/>
      <c r="J267" s="1684"/>
      <c r="K267" s="1684"/>
      <c r="L267" s="1684"/>
      <c r="M267" s="1684"/>
      <c r="N267" s="1684"/>
      <c r="O267" s="1684"/>
      <c r="P267" s="1684"/>
      <c r="Q267" s="1684"/>
      <c r="R267" s="1684"/>
      <c r="S267" s="1684"/>
      <c r="T267" s="1684"/>
      <c r="U267" s="1685"/>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86" t="s">
        <v>1558</v>
      </c>
      <c r="E269" s="1687"/>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88">
        <v>1303</v>
      </c>
      <c r="E271" s="1689"/>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90" t="str">
        <f>AA21</f>
        <v/>
      </c>
      <c r="E273" s="1691"/>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90" t="str">
        <f>AB21</f>
        <v/>
      </c>
      <c r="E275" s="1691"/>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78" t="s">
        <v>649</v>
      </c>
      <c r="E277" s="1679"/>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88" t="s">
        <v>1516</v>
      </c>
      <c r="E279" s="1671"/>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83" t="s">
        <v>1701</v>
      </c>
      <c r="C281" s="1684"/>
      <c r="D281" s="1684"/>
      <c r="E281" s="1684"/>
      <c r="F281" s="1684"/>
      <c r="G281" s="1684"/>
      <c r="H281" s="1684"/>
      <c r="I281" s="1684"/>
      <c r="J281" s="1684"/>
      <c r="K281" s="1684"/>
      <c r="L281" s="1684"/>
      <c r="M281" s="1684"/>
      <c r="N281" s="1684"/>
      <c r="O281" s="1684"/>
      <c r="P281" s="1684"/>
      <c r="Q281" s="1684"/>
      <c r="R281" s="1684"/>
      <c r="S281" s="1684"/>
      <c r="T281" s="1684"/>
      <c r="U281" s="1685"/>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86" t="s">
        <v>1558</v>
      </c>
      <c r="E283" s="1687"/>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88">
        <v>1304</v>
      </c>
      <c r="E285" s="1689"/>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90" t="str">
        <f>AA22</f>
        <v/>
      </c>
      <c r="E287" s="1691"/>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90" t="str">
        <f>AB22</f>
        <v/>
      </c>
      <c r="E289" s="1691"/>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78" t="s">
        <v>649</v>
      </c>
      <c r="E291" s="1679"/>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88" t="s">
        <v>1516</v>
      </c>
      <c r="E293" s="1671"/>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83" t="s">
        <v>1702</v>
      </c>
      <c r="C295" s="1684"/>
      <c r="D295" s="1684"/>
      <c r="E295" s="1684"/>
      <c r="F295" s="1684"/>
      <c r="G295" s="1684"/>
      <c r="H295" s="1684"/>
      <c r="I295" s="1684"/>
      <c r="J295" s="1684"/>
      <c r="K295" s="1684"/>
      <c r="L295" s="1684"/>
      <c r="M295" s="1684"/>
      <c r="N295" s="1684"/>
      <c r="O295" s="1684"/>
      <c r="P295" s="1684"/>
      <c r="Q295" s="1684"/>
      <c r="R295" s="1684"/>
      <c r="S295" s="1684"/>
      <c r="T295" s="1684"/>
      <c r="U295" s="1685"/>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86" t="s">
        <v>1558</v>
      </c>
      <c r="E297" s="1687"/>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88">
        <v>1305</v>
      </c>
      <c r="E299" s="1689"/>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90" t="str">
        <f>AA23</f>
        <v/>
      </c>
      <c r="E301" s="1691"/>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90" t="str">
        <f>AB23</f>
        <v/>
      </c>
      <c r="E303" s="1691"/>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78" t="s">
        <v>649</v>
      </c>
      <c r="E305" s="1679"/>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88" t="s">
        <v>1516</v>
      </c>
      <c r="E307" s="1671"/>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2"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86" t="s">
        <v>1559</v>
      </c>
      <c r="E311" s="1687"/>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88">
        <v>4001</v>
      </c>
      <c r="E313" s="1689"/>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90" t="str">
        <f>AA24</f>
        <v/>
      </c>
      <c r="E315" s="1691"/>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90" t="str">
        <f>AB24</f>
        <v/>
      </c>
      <c r="E317" s="1691"/>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78" t="s">
        <v>649</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88" t="s">
        <v>1516</v>
      </c>
      <c r="E321" s="1671"/>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83" t="s">
        <v>1722</v>
      </c>
      <c r="C323" s="1684"/>
      <c r="D323" s="1684"/>
      <c r="E323" s="1684"/>
      <c r="F323" s="1684"/>
      <c r="G323" s="1684"/>
      <c r="H323" s="1684"/>
      <c r="I323" s="1684"/>
      <c r="J323" s="1684"/>
      <c r="K323" s="1684"/>
      <c r="L323" s="1684"/>
      <c r="M323" s="1684"/>
      <c r="N323" s="1684"/>
      <c r="O323" s="1684"/>
      <c r="P323" s="1684"/>
      <c r="Q323" s="1684"/>
      <c r="R323" s="1684"/>
      <c r="S323" s="1684"/>
      <c r="T323" s="1684"/>
      <c r="U323" s="1685"/>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95" t="s">
        <v>1619</v>
      </c>
      <c r="E325" s="1696"/>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94">
        <v>4601</v>
      </c>
      <c r="E327" s="1697"/>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90" t="str">
        <f>AA25</f>
        <v/>
      </c>
      <c r="E329" s="1691"/>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90" t="str">
        <f>AB25</f>
        <v/>
      </c>
      <c r="E331" s="1691"/>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78" t="s">
        <v>649</v>
      </c>
      <c r="E333" s="1679"/>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94" t="s">
        <v>1625</v>
      </c>
      <c r="E335" s="1685"/>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83" t="s">
        <v>1723</v>
      </c>
      <c r="C337" s="1684"/>
      <c r="D337" s="1684"/>
      <c r="E337" s="1684"/>
      <c r="F337" s="1684"/>
      <c r="G337" s="1684"/>
      <c r="H337" s="1684"/>
      <c r="I337" s="1684"/>
      <c r="J337" s="1684"/>
      <c r="K337" s="1684"/>
      <c r="L337" s="1684"/>
      <c r="M337" s="1684"/>
      <c r="N337" s="1684"/>
      <c r="O337" s="1684"/>
      <c r="P337" s="1684"/>
      <c r="Q337" s="1684"/>
      <c r="R337" s="1684"/>
      <c r="S337" s="1684"/>
      <c r="T337" s="1684"/>
      <c r="U337" s="1685"/>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95" t="s">
        <v>1619</v>
      </c>
      <c r="E339" s="1696"/>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94">
        <v>4602</v>
      </c>
      <c r="E341" s="1697"/>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90" t="str">
        <f>AA26</f>
        <v/>
      </c>
      <c r="E343" s="1691"/>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90" t="str">
        <f>AB26</f>
        <v/>
      </c>
      <c r="E345" s="1691"/>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78" t="s">
        <v>649</v>
      </c>
      <c r="E347" s="1679"/>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94" t="s">
        <v>1625</v>
      </c>
      <c r="E349" s="1685"/>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98" t="s">
        <v>1967</v>
      </c>
      <c r="C351" s="1699"/>
      <c r="D351" s="1699"/>
      <c r="E351" s="1699"/>
      <c r="F351" s="1699"/>
      <c r="G351" s="1699"/>
      <c r="H351" s="1699"/>
      <c r="I351" s="1699"/>
      <c r="J351" s="1699"/>
      <c r="K351" s="1699"/>
      <c r="L351" s="1699"/>
      <c r="M351" s="1699"/>
      <c r="N351" s="1699"/>
      <c r="O351" s="1699"/>
      <c r="P351" s="1699"/>
      <c r="Q351" s="1699"/>
      <c r="R351" s="1699"/>
      <c r="S351" s="1699"/>
      <c r="T351" s="1699"/>
      <c r="U351" s="1700"/>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95" t="s">
        <v>1649</v>
      </c>
      <c r="E353" s="1696"/>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94">
        <v>4901</v>
      </c>
      <c r="E355" s="1697"/>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90" t="str">
        <f>AA27</f>
        <v/>
      </c>
      <c r="E357" s="1691"/>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90" t="str">
        <f>AB27</f>
        <v/>
      </c>
      <c r="E359" s="1691"/>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78" t="s">
        <v>649</v>
      </c>
      <c r="E361" s="1679"/>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94" t="s">
        <v>1625</v>
      </c>
      <c r="E363" s="1685"/>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83" t="s">
        <v>1626</v>
      </c>
      <c r="C365" s="1684"/>
      <c r="D365" s="1684"/>
      <c r="E365" s="1684"/>
      <c r="F365" s="1684"/>
      <c r="G365" s="1684"/>
      <c r="H365" s="1684"/>
      <c r="I365" s="1684"/>
      <c r="J365" s="1684"/>
      <c r="K365" s="1684"/>
      <c r="L365" s="1684"/>
      <c r="M365" s="1684"/>
      <c r="N365" s="1684"/>
      <c r="O365" s="1684"/>
      <c r="P365" s="1684"/>
      <c r="Q365" s="1684"/>
      <c r="R365" s="1684"/>
      <c r="S365" s="1684"/>
      <c r="T365" s="1684"/>
      <c r="U365" s="1685"/>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95" t="s">
        <v>1627</v>
      </c>
      <c r="E367" s="1696"/>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94">
        <v>5001</v>
      </c>
      <c r="E369" s="1697"/>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90" t="str">
        <f>AA28</f>
        <v/>
      </c>
      <c r="E371" s="1691"/>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90" t="str">
        <f>AB28</f>
        <v/>
      </c>
      <c r="E373" s="1691"/>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78" t="s">
        <v>649</v>
      </c>
      <c r="E375" s="1679"/>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94" t="s">
        <v>1516</v>
      </c>
      <c r="E377" s="1685"/>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83" t="s">
        <v>1628</v>
      </c>
      <c r="C379" s="1684"/>
      <c r="D379" s="1684"/>
      <c r="E379" s="1684"/>
      <c r="F379" s="1684"/>
      <c r="G379" s="1684"/>
      <c r="H379" s="1684"/>
      <c r="I379" s="1684"/>
      <c r="J379" s="1684"/>
      <c r="K379" s="1684"/>
      <c r="L379" s="1684"/>
      <c r="M379" s="1684"/>
      <c r="N379" s="1684"/>
      <c r="O379" s="1684"/>
      <c r="P379" s="1684"/>
      <c r="Q379" s="1684"/>
      <c r="R379" s="1684"/>
      <c r="S379" s="1684"/>
      <c r="T379" s="1684"/>
      <c r="U379" s="1685"/>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86" t="s">
        <v>1141</v>
      </c>
      <c r="E381" s="1687"/>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88">
        <v>801</v>
      </c>
      <c r="E383" s="1689"/>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90" t="str">
        <f>AA29</f>
        <v/>
      </c>
      <c r="E385" s="1691"/>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90" t="str">
        <f>AB29</f>
        <v/>
      </c>
      <c r="E387" s="1691"/>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78" t="s">
        <v>649</v>
      </c>
      <c r="E389" s="1679"/>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88" t="s">
        <v>1625</v>
      </c>
      <c r="E391" s="1671"/>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92"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86" t="s">
        <v>1631</v>
      </c>
      <c r="E395" s="1687"/>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88">
        <v>901</v>
      </c>
      <c r="E397" s="1689"/>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90" t="str">
        <f>AA30</f>
        <v/>
      </c>
      <c r="E399" s="1691"/>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90" t="str">
        <f>AB30</f>
        <v/>
      </c>
      <c r="E401" s="1691"/>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78" t="s">
        <v>649</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88" t="s">
        <v>1625</v>
      </c>
      <c r="E405" s="1671"/>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92"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86" t="s">
        <v>1633</v>
      </c>
      <c r="E409" s="1687"/>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88">
        <v>501</v>
      </c>
      <c r="E411" s="1689"/>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90" t="str">
        <f>AA31</f>
        <v/>
      </c>
      <c r="E413" s="1691"/>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90" t="str">
        <f>AB31</f>
        <v/>
      </c>
      <c r="E415" s="1691"/>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78" t="s">
        <v>649</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88" t="s">
        <v>1625</v>
      </c>
      <c r="E419" s="1671"/>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92"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86" t="s">
        <v>1633</v>
      </c>
      <c r="E423" s="1687"/>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3">
        <v>502</v>
      </c>
      <c r="E425" s="1689"/>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90" t="str">
        <f>AA32</f>
        <v/>
      </c>
      <c r="E427" s="1691"/>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90" t="str">
        <f>AB32</f>
        <v/>
      </c>
      <c r="E429" s="1691"/>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78" t="s">
        <v>649</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88" t="s">
        <v>1625</v>
      </c>
      <c r="E433" s="1671"/>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92"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86" t="s">
        <v>1636</v>
      </c>
      <c r="E437" s="1687"/>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88">
        <v>5601</v>
      </c>
      <c r="E439" s="1689"/>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90" t="str">
        <f>AA33</f>
        <v/>
      </c>
      <c r="E441" s="1691"/>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90" t="str">
        <f>AB33</f>
        <v/>
      </c>
      <c r="E443" s="1691"/>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78" t="s">
        <v>649</v>
      </c>
      <c r="E445" s="1679"/>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88" t="s">
        <v>1625</v>
      </c>
      <c r="E447" s="1671"/>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92"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86" t="s">
        <v>1636</v>
      </c>
      <c r="E451" s="1687"/>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88">
        <v>5602</v>
      </c>
      <c r="E453" s="1689"/>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90" t="str">
        <f>AA34</f>
        <v/>
      </c>
      <c r="E455" s="1691"/>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90" t="str">
        <f>AB34</f>
        <v/>
      </c>
      <c r="E457" s="1691"/>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78" t="s">
        <v>649</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88" t="s">
        <v>1625</v>
      </c>
      <c r="E461" s="1671"/>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92"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86" t="s">
        <v>1639</v>
      </c>
      <c r="E465" s="1687"/>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88">
        <v>601</v>
      </c>
      <c r="E467" s="1689"/>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704" t="s">
        <v>1640</v>
      </c>
      <c r="O468" s="1704"/>
      <c r="P468" s="1704"/>
      <c r="Q468" s="1015"/>
      <c r="R468" s="1011" t="s">
        <v>1622</v>
      </c>
      <c r="S468" s="1015"/>
      <c r="T468" s="1011" t="s">
        <v>1623</v>
      </c>
      <c r="U468" s="1015"/>
    </row>
    <row r="469" spans="1:21" ht="30.75" customHeight="1" thickBot="1" x14ac:dyDescent="0.3">
      <c r="A469" s="1055"/>
      <c r="B469" s="1015"/>
      <c r="C469" s="1008" t="s">
        <v>1401</v>
      </c>
      <c r="D469" s="1690" t="str">
        <f>AA35</f>
        <v/>
      </c>
      <c r="E469" s="1691"/>
      <c r="F469" s="1015"/>
      <c r="G469" s="1015"/>
      <c r="H469" s="976"/>
      <c r="I469" s="1015"/>
      <c r="J469" s="977">
        <v>1</v>
      </c>
      <c r="K469" s="1015"/>
      <c r="L469" s="976"/>
      <c r="M469" s="1015"/>
      <c r="N469" s="1705" t="s">
        <v>1641</v>
      </c>
      <c r="O469" s="1705"/>
      <c r="P469" s="1705"/>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706" t="s">
        <v>1642</v>
      </c>
      <c r="O470" s="1706"/>
      <c r="P470" s="1706"/>
      <c r="Q470" s="1015"/>
      <c r="R470" s="1015"/>
      <c r="S470" s="1015"/>
      <c r="T470" s="1015"/>
      <c r="U470" s="1015"/>
    </row>
    <row r="471" spans="1:21" ht="30.75" thickBot="1" x14ac:dyDescent="0.3">
      <c r="A471" s="1055"/>
      <c r="B471" s="1015"/>
      <c r="C471" s="1008" t="s">
        <v>1402</v>
      </c>
      <c r="D471" s="1690" t="str">
        <f>AB35</f>
        <v/>
      </c>
      <c r="E471" s="1691"/>
      <c r="F471" s="1015"/>
      <c r="G471" s="1015"/>
      <c r="H471" s="1010" t="s">
        <v>1511</v>
      </c>
      <c r="I471" s="1015"/>
      <c r="J471" s="977">
        <v>3</v>
      </c>
      <c r="K471" s="1015"/>
      <c r="L471" s="1002"/>
      <c r="M471" s="1015"/>
      <c r="N471" s="1706" t="s">
        <v>1643</v>
      </c>
      <c r="O471" s="1706"/>
      <c r="P471" s="1706"/>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705" t="s">
        <v>1644</v>
      </c>
      <c r="O472" s="1705"/>
      <c r="P472" s="1705"/>
      <c r="Q472" s="1015"/>
      <c r="R472" s="1015"/>
      <c r="S472" s="1015"/>
      <c r="T472" s="1042" t="s">
        <v>651</v>
      </c>
      <c r="U472" s="1015"/>
    </row>
    <row r="473" spans="1:21" ht="30.75" thickBot="1" x14ac:dyDescent="0.3">
      <c r="A473" s="1055"/>
      <c r="B473" s="1015"/>
      <c r="C473" s="1009" t="s">
        <v>1514</v>
      </c>
      <c r="D473" s="1678" t="s">
        <v>649</v>
      </c>
      <c r="E473" s="1679"/>
      <c r="F473" s="1015"/>
      <c r="G473" s="1015"/>
      <c r="H473" s="1015"/>
      <c r="I473" s="1015"/>
      <c r="J473" s="977">
        <v>5</v>
      </c>
      <c r="K473" s="1015"/>
      <c r="L473" s="1002"/>
      <c r="M473" s="1015"/>
      <c r="N473" s="1705" t="s">
        <v>1645</v>
      </c>
      <c r="O473" s="1705"/>
      <c r="P473" s="1705"/>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88" t="s">
        <v>1625</v>
      </c>
      <c r="E475" s="1671"/>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92"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86" t="s">
        <v>1639</v>
      </c>
      <c r="E479" s="1687"/>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88">
        <v>602</v>
      </c>
      <c r="E481" s="1689"/>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704" t="s">
        <v>1640</v>
      </c>
      <c r="O482" s="1704"/>
      <c r="P482" s="1704"/>
      <c r="Q482" s="1015"/>
      <c r="R482" s="1011" t="s">
        <v>1622</v>
      </c>
      <c r="S482" s="1015"/>
      <c r="T482" s="1011" t="s">
        <v>1623</v>
      </c>
      <c r="U482" s="1015"/>
    </row>
    <row r="483" spans="1:21" ht="30.75" customHeight="1" thickBot="1" x14ac:dyDescent="0.3">
      <c r="A483" s="1055"/>
      <c r="B483" s="1015"/>
      <c r="C483" s="1008" t="s">
        <v>1401</v>
      </c>
      <c r="D483" s="1690" t="str">
        <f>AA36</f>
        <v/>
      </c>
      <c r="E483" s="1691"/>
      <c r="F483" s="1015"/>
      <c r="G483" s="1015"/>
      <c r="H483" s="1041"/>
      <c r="I483" s="1015"/>
      <c r="J483" s="977">
        <v>1</v>
      </c>
      <c r="K483" s="1015"/>
      <c r="L483" s="1002"/>
      <c r="M483" s="1015"/>
      <c r="N483" s="1705" t="s">
        <v>1641</v>
      </c>
      <c r="O483" s="1705"/>
      <c r="P483" s="1705"/>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705" t="s">
        <v>1642</v>
      </c>
      <c r="O484" s="1705"/>
      <c r="P484" s="1705"/>
      <c r="Q484" s="1015"/>
      <c r="R484" s="1015"/>
      <c r="S484" s="1015"/>
      <c r="T484" s="1015"/>
      <c r="U484" s="1015"/>
    </row>
    <row r="485" spans="1:21" ht="30.75" thickBot="1" x14ac:dyDescent="0.3">
      <c r="A485" s="1055"/>
      <c r="B485" s="1015"/>
      <c r="C485" s="1008" t="s">
        <v>1402</v>
      </c>
      <c r="D485" s="1690" t="str">
        <f>AB36</f>
        <v/>
      </c>
      <c r="E485" s="1691"/>
      <c r="F485" s="1015"/>
      <c r="G485" s="1015"/>
      <c r="H485" s="1010" t="s">
        <v>1511</v>
      </c>
      <c r="I485" s="1015"/>
      <c r="J485" s="977">
        <v>3</v>
      </c>
      <c r="K485" s="1015"/>
      <c r="L485" s="1002"/>
      <c r="M485" s="1015"/>
      <c r="N485" s="1705" t="s">
        <v>1643</v>
      </c>
      <c r="O485" s="1705"/>
      <c r="P485" s="1705"/>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705" t="s">
        <v>1644</v>
      </c>
      <c r="O486" s="1705"/>
      <c r="P486" s="1705"/>
      <c r="Q486" s="1015"/>
      <c r="R486" s="1015"/>
      <c r="S486" s="1015"/>
      <c r="T486" s="1042" t="s">
        <v>651</v>
      </c>
      <c r="U486" s="1015"/>
    </row>
    <row r="487" spans="1:21" ht="30.75" thickBot="1" x14ac:dyDescent="0.3">
      <c r="A487" s="1055"/>
      <c r="B487" s="1015"/>
      <c r="C487" s="1009" t="s">
        <v>1514</v>
      </c>
      <c r="D487" s="1678" t="s">
        <v>649</v>
      </c>
      <c r="E487" s="1679"/>
      <c r="F487" s="1015"/>
      <c r="G487" s="1015"/>
      <c r="H487" s="1015"/>
      <c r="I487" s="1015"/>
      <c r="J487" s="977">
        <v>5</v>
      </c>
      <c r="K487" s="1015"/>
      <c r="L487" s="1002"/>
      <c r="M487" s="1015"/>
      <c r="N487" s="1705" t="s">
        <v>1645</v>
      </c>
      <c r="O487" s="1705"/>
      <c r="P487" s="1705"/>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88" t="s">
        <v>1625</v>
      </c>
      <c r="E489" s="1671"/>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92"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86" t="s">
        <v>1648</v>
      </c>
      <c r="E493" s="1687"/>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88">
        <v>1001</v>
      </c>
      <c r="E495" s="1689"/>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90" t="str">
        <f>AA37</f>
        <v/>
      </c>
      <c r="E497" s="1691"/>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90" t="str">
        <f>AB37</f>
        <v/>
      </c>
      <c r="E499" s="1691"/>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78" t="s">
        <v>649</v>
      </c>
      <c r="E501" s="1679"/>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710"/>
      <c r="K2" s="1710"/>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27" t="e">
        <f>VLOOKUP($J$4,'Market Geography'!$D:$G,4,FALSE)</f>
        <v>#N/A</v>
      </c>
      <c r="K3" s="1627"/>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27">
        <f>Welcome!$D$4</f>
        <v>0</v>
      </c>
      <c r="K4" s="1627"/>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711" t="e">
        <f>VLOOKUP($J$4,'Market Geography'!$D:$F,3,FALSE)</f>
        <v>#N/A</v>
      </c>
      <c r="K5" s="1711"/>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27" t="s">
        <v>134</v>
      </c>
      <c r="K6" s="1627"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27" t="str">
        <f>IF(Welcome!$D$10="MDA","C","N")</f>
        <v>N</v>
      </c>
      <c r="K7" s="162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707" t="s">
        <v>933</v>
      </c>
      <c r="AE13" s="1708"/>
      <c r="AF13" s="1709"/>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3" t="s">
        <v>978</v>
      </c>
      <c r="F1" s="1714"/>
      <c r="G1" s="1714"/>
      <c r="H1" s="1714"/>
      <c r="I1" s="1714"/>
      <c r="J1" s="1715"/>
      <c r="L1" s="1713" t="s">
        <v>977</v>
      </c>
      <c r="M1" s="171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13" t="s">
        <v>979</v>
      </c>
      <c r="F20" s="1714"/>
      <c r="G20" s="171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12" t="s">
        <v>113</v>
      </c>
      <c r="M22" s="171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13" t="s">
        <v>977</v>
      </c>
      <c r="M23" s="171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12" t="s">
        <v>980</v>
      </c>
      <c r="F28" s="1712"/>
      <c r="G28" s="171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16" t="s">
        <v>808</v>
      </c>
      <c r="U1" s="171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16" t="s">
        <v>809</v>
      </c>
      <c r="U5" s="171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16"/>
      <c r="U6" s="171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1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1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17"/>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18" t="s">
        <v>918</v>
      </c>
      <c r="AX5" s="1719"/>
      <c r="AY5" s="426">
        <v>1757315</v>
      </c>
      <c r="AZ5" s="273" t="s">
        <v>214</v>
      </c>
      <c r="BA5" s="1" t="s">
        <v>214</v>
      </c>
      <c r="BB5" s="419">
        <v>3.2000000000000001E-2</v>
      </c>
      <c r="BC5" s="419">
        <v>6.9000000000000006E-2</v>
      </c>
      <c r="BD5" s="419">
        <v>8.2000000000000003E-2</v>
      </c>
      <c r="BE5" s="419">
        <v>9.6000000000000002E-2</v>
      </c>
      <c r="BF5" s="420">
        <v>0.13300000000000001</v>
      </c>
      <c r="BI5" s="1718" t="s">
        <v>919</v>
      </c>
      <c r="BJ5" s="171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1" t="s">
        <v>917</v>
      </c>
      <c r="AR10" s="1721"/>
      <c r="AW10" s="1720" t="s">
        <v>915</v>
      </c>
      <c r="AX10" s="1720"/>
      <c r="AY10" s="1720"/>
      <c r="AZ10" s="1720"/>
      <c r="BA10" s="1720"/>
      <c r="BD10" s="1720" t="s">
        <v>916</v>
      </c>
      <c r="BE10" s="1720"/>
      <c r="BF10" s="1720"/>
      <c r="BG10" s="1720"/>
      <c r="BH10" s="172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30" t="s">
        <v>1902</v>
      </c>
      <c r="C2" s="1731"/>
      <c r="D2" s="1731"/>
      <c r="E2" s="1731"/>
      <c r="F2" s="1731"/>
      <c r="G2" s="1731"/>
      <c r="H2" s="1731"/>
      <c r="I2" s="1731"/>
      <c r="J2" s="1732"/>
      <c r="K2" s="1240"/>
      <c r="L2" s="1234"/>
      <c r="M2" s="1736" t="s">
        <v>1968</v>
      </c>
      <c r="N2" s="1737"/>
      <c r="O2" s="1738"/>
      <c r="P2" s="1739"/>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33"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34"/>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22"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35"/>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22"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35"/>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40"/>
      <c r="P9" s="1741"/>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28" t="s">
        <v>1921</v>
      </c>
      <c r="C14" s="1227" t="s">
        <v>1922</v>
      </c>
      <c r="D14" s="1228" t="s">
        <v>1923</v>
      </c>
      <c r="E14" s="1263"/>
      <c r="F14" s="1263"/>
      <c r="G14" s="1263"/>
      <c r="H14" s="1263"/>
      <c r="I14" s="1263"/>
      <c r="J14" s="1263"/>
      <c r="K14" s="1263"/>
      <c r="L14" s="1263"/>
      <c r="M14" s="1263"/>
      <c r="N14" s="1263"/>
      <c r="O14" s="1263"/>
      <c r="P14" s="1264"/>
      <c r="Q14" s="1263"/>
      <c r="R14" s="1263"/>
      <c r="S14" s="1263"/>
      <c r="T14" s="1728"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29"/>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29"/>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42" t="s">
        <v>1925</v>
      </c>
      <c r="C16" s="1266" t="s">
        <v>1926</v>
      </c>
      <c r="D16" s="1267" t="s">
        <v>131</v>
      </c>
      <c r="E16" s="1267" t="s">
        <v>1927</v>
      </c>
      <c r="F16" s="1234"/>
      <c r="G16" s="1234"/>
      <c r="H16" s="1234"/>
      <c r="I16" s="1234"/>
      <c r="J16" s="1234"/>
      <c r="K16" s="1234"/>
      <c r="L16" s="1234"/>
      <c r="M16" s="1234"/>
      <c r="N16" s="1234"/>
      <c r="O16" s="1234"/>
      <c r="P16" s="1235"/>
      <c r="Q16" s="1234"/>
      <c r="R16" s="1234"/>
      <c r="S16" s="1234"/>
      <c r="T16" s="1742"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24"/>
      <c r="C17" s="1268" t="s">
        <v>1928</v>
      </c>
      <c r="D17" s="1268" t="s">
        <v>1929</v>
      </c>
      <c r="E17" s="1269"/>
      <c r="F17" s="1234"/>
      <c r="G17" s="1234"/>
      <c r="H17" s="1234"/>
      <c r="I17" s="1234"/>
      <c r="J17" s="1234"/>
      <c r="K17" s="1234"/>
      <c r="L17" s="1234"/>
      <c r="M17" s="1234"/>
      <c r="N17" s="1234"/>
      <c r="O17" s="1234"/>
      <c r="P17" s="1235"/>
      <c r="Q17" s="1234"/>
      <c r="R17" s="1234"/>
      <c r="S17" s="1234"/>
      <c r="T17" s="1724"/>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24"/>
      <c r="C18" s="1270" t="s">
        <v>1928</v>
      </c>
      <c r="D18" s="1270" t="s">
        <v>1930</v>
      </c>
      <c r="E18" s="1271" t="s">
        <v>1931</v>
      </c>
      <c r="F18" s="1234"/>
      <c r="G18" s="1234"/>
      <c r="H18" s="1234"/>
      <c r="I18" s="1234"/>
      <c r="J18" s="1234"/>
      <c r="K18" s="1234"/>
      <c r="L18" s="1234"/>
      <c r="M18" s="1234"/>
      <c r="N18" s="1234"/>
      <c r="O18" s="1234"/>
      <c r="P18" s="1235"/>
      <c r="Q18" s="1234"/>
      <c r="R18" s="1234"/>
      <c r="S18" s="1234"/>
      <c r="T18" s="1724"/>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24"/>
      <c r="C19" s="1270" t="s">
        <v>1928</v>
      </c>
      <c r="D19" s="1270" t="s">
        <v>1932</v>
      </c>
      <c r="E19" s="1271" t="s">
        <v>1718</v>
      </c>
      <c r="F19" s="1234"/>
      <c r="G19" s="1234"/>
      <c r="H19" s="1234"/>
      <c r="I19" s="1234"/>
      <c r="J19" s="1234"/>
      <c r="K19" s="1234"/>
      <c r="L19" s="1234"/>
      <c r="M19" s="1234"/>
      <c r="N19" s="1234"/>
      <c r="O19" s="1234"/>
      <c r="P19" s="1235"/>
      <c r="Q19" s="1234"/>
      <c r="R19" s="1234"/>
      <c r="S19" s="1234"/>
      <c r="T19" s="1724"/>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25"/>
      <c r="C20" s="1272" t="s">
        <v>1928</v>
      </c>
      <c r="D20" s="1272" t="s">
        <v>1933</v>
      </c>
      <c r="E20" s="1273" t="s">
        <v>1934</v>
      </c>
      <c r="F20" s="1234"/>
      <c r="G20" s="1234"/>
      <c r="H20" s="1234"/>
      <c r="I20" s="1234"/>
      <c r="J20" s="1234"/>
      <c r="K20" s="1234"/>
      <c r="L20" s="1234"/>
      <c r="M20" s="1234"/>
      <c r="N20" s="1234"/>
      <c r="O20" s="1234"/>
      <c r="P20" s="1235"/>
      <c r="Q20" s="1234"/>
      <c r="R20" s="1234"/>
      <c r="S20" s="1234"/>
      <c r="T20" s="1725"/>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22"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22"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24"/>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24"/>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24"/>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24"/>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24"/>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24"/>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24"/>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24"/>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24"/>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24"/>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24"/>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24"/>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24"/>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24"/>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24"/>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24"/>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24"/>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24"/>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25"/>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25"/>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22"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22"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27"/>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27"/>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24"/>
      <c r="C38" s="1302" t="s">
        <v>1952</v>
      </c>
      <c r="D38" s="1303" t="s">
        <v>126</v>
      </c>
      <c r="E38" s="1304" t="s">
        <v>128</v>
      </c>
      <c r="F38" s="1305" t="s">
        <v>1112</v>
      </c>
      <c r="G38" s="1263"/>
      <c r="H38" s="1263"/>
      <c r="I38" s="1263"/>
      <c r="J38" s="1263"/>
      <c r="K38" s="1263"/>
      <c r="L38" s="1263"/>
      <c r="M38" s="1263"/>
      <c r="N38" s="1263"/>
      <c r="O38" s="1263"/>
      <c r="P38" s="1263"/>
      <c r="Q38" s="1264"/>
      <c r="R38" s="1234"/>
      <c r="S38" s="1234"/>
      <c r="T38" s="1724"/>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24"/>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24"/>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25"/>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25"/>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22" t="s">
        <v>1925</v>
      </c>
      <c r="C41" s="1323" t="s">
        <v>1926</v>
      </c>
      <c r="D41" s="1324" t="s">
        <v>131</v>
      </c>
      <c r="E41" s="1324" t="s">
        <v>1927</v>
      </c>
      <c r="F41" s="1234"/>
      <c r="G41" s="1234"/>
      <c r="H41" s="1234"/>
      <c r="I41" s="1234"/>
      <c r="J41" s="1234"/>
      <c r="K41" s="1234"/>
      <c r="L41" s="1234"/>
      <c r="M41" s="1234"/>
      <c r="N41" s="1234"/>
      <c r="O41" s="1234"/>
      <c r="P41" s="1234"/>
      <c r="Q41" s="1235"/>
      <c r="R41" s="1234"/>
      <c r="S41" s="1234"/>
      <c r="T41" s="1722"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27"/>
      <c r="C42" s="1268" t="s">
        <v>1928</v>
      </c>
      <c r="D42" s="1268" t="s">
        <v>1929</v>
      </c>
      <c r="E42" s="1269"/>
      <c r="F42" s="1234"/>
      <c r="G42" s="1234"/>
      <c r="H42" s="1234"/>
      <c r="I42" s="1234"/>
      <c r="J42" s="1234"/>
      <c r="K42" s="1234"/>
      <c r="L42" s="1234"/>
      <c r="M42" s="1234"/>
      <c r="N42" s="1234"/>
      <c r="O42" s="1234"/>
      <c r="P42" s="1234"/>
      <c r="Q42" s="1235"/>
      <c r="R42" s="1234"/>
      <c r="S42" s="1234"/>
      <c r="T42" s="1727"/>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27"/>
      <c r="C43" s="1270" t="s">
        <v>1928</v>
      </c>
      <c r="D43" s="1270" t="s">
        <v>1930</v>
      </c>
      <c r="E43" s="1271" t="s">
        <v>1931</v>
      </c>
      <c r="F43" s="1234"/>
      <c r="G43" s="1234"/>
      <c r="H43" s="1234"/>
      <c r="I43" s="1234"/>
      <c r="J43" s="1234"/>
      <c r="K43" s="1234"/>
      <c r="L43" s="1234"/>
      <c r="M43" s="1234"/>
      <c r="N43" s="1234"/>
      <c r="O43" s="1234"/>
      <c r="P43" s="1234"/>
      <c r="Q43" s="1235"/>
      <c r="R43" s="1234"/>
      <c r="S43" s="1234"/>
      <c r="T43" s="1727"/>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27"/>
      <c r="C44" s="1270" t="s">
        <v>1928</v>
      </c>
      <c r="D44" s="1270" t="s">
        <v>1932</v>
      </c>
      <c r="E44" s="1271" t="s">
        <v>1718</v>
      </c>
      <c r="F44" s="1234"/>
      <c r="G44" s="1234"/>
      <c r="H44" s="1234"/>
      <c r="I44" s="1234"/>
      <c r="J44" s="1234"/>
      <c r="K44" s="1234"/>
      <c r="L44" s="1234"/>
      <c r="M44" s="1234"/>
      <c r="N44" s="1234"/>
      <c r="O44" s="1234"/>
      <c r="P44" s="1234"/>
      <c r="Q44" s="1235"/>
      <c r="R44" s="1234"/>
      <c r="S44" s="1234"/>
      <c r="T44" s="1727"/>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26"/>
      <c r="C45" s="1272" t="s">
        <v>1928</v>
      </c>
      <c r="D45" s="1272" t="s">
        <v>1933</v>
      </c>
      <c r="E45" s="1273" t="s">
        <v>1934</v>
      </c>
      <c r="F45" s="1234"/>
      <c r="G45" s="1234"/>
      <c r="H45" s="1234"/>
      <c r="I45" s="1234"/>
      <c r="J45" s="1234"/>
      <c r="K45" s="1234"/>
      <c r="L45" s="1234"/>
      <c r="M45" s="1234"/>
      <c r="N45" s="1234"/>
      <c r="O45" s="1234"/>
      <c r="P45" s="1234"/>
      <c r="Q45" s="1235"/>
      <c r="R45" s="1234"/>
      <c r="S45" s="1234"/>
      <c r="T45" s="1726"/>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22"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22"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24"/>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24"/>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24"/>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24"/>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24"/>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24"/>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24"/>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24"/>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24"/>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24"/>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24"/>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24"/>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24"/>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24"/>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24"/>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24"/>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24"/>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24"/>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25"/>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25"/>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22"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22"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27"/>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27"/>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24"/>
      <c r="C63" s="1302" t="s">
        <v>1952</v>
      </c>
      <c r="D63" s="1303" t="s">
        <v>126</v>
      </c>
      <c r="E63" s="1304" t="s">
        <v>128</v>
      </c>
      <c r="F63" s="1305" t="s">
        <v>1112</v>
      </c>
      <c r="G63" s="1263"/>
      <c r="H63" s="1263"/>
      <c r="I63" s="1263"/>
      <c r="J63" s="1263"/>
      <c r="K63" s="1263"/>
      <c r="L63" s="1263"/>
      <c r="M63" s="1263"/>
      <c r="N63" s="1263"/>
      <c r="O63" s="1263"/>
      <c r="P63" s="1263"/>
      <c r="Q63" s="1264"/>
      <c r="R63" s="1234"/>
      <c r="S63" s="1234"/>
      <c r="T63" s="1727"/>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24"/>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24"/>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24"/>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24"/>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24"/>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24"/>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24"/>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24"/>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24"/>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24"/>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25"/>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25"/>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22" t="s">
        <v>1925</v>
      </c>
      <c r="C70" s="1323" t="s">
        <v>1926</v>
      </c>
      <c r="D70" s="1324" t="s">
        <v>131</v>
      </c>
      <c r="E70" s="1324" t="s">
        <v>1927</v>
      </c>
      <c r="F70" s="1234"/>
      <c r="G70" s="1234"/>
      <c r="H70" s="1234"/>
      <c r="I70" s="1234"/>
      <c r="J70" s="1234"/>
      <c r="K70" s="1234"/>
      <c r="L70" s="1234"/>
      <c r="M70" s="1234"/>
      <c r="N70" s="1234"/>
      <c r="O70" s="1234"/>
      <c r="P70" s="1234"/>
      <c r="Q70" s="1235"/>
      <c r="R70" s="1234"/>
      <c r="S70" s="1234"/>
      <c r="T70" s="1722"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27"/>
      <c r="C71" s="1268" t="s">
        <v>1928</v>
      </c>
      <c r="D71" s="1268" t="s">
        <v>1929</v>
      </c>
      <c r="E71" s="1269"/>
      <c r="F71" s="1234"/>
      <c r="G71" s="1234"/>
      <c r="H71" s="1234"/>
      <c r="I71" s="1234"/>
      <c r="J71" s="1234"/>
      <c r="K71" s="1234"/>
      <c r="L71" s="1234"/>
      <c r="M71" s="1234"/>
      <c r="N71" s="1234"/>
      <c r="O71" s="1234"/>
      <c r="P71" s="1234"/>
      <c r="Q71" s="1235"/>
      <c r="R71" s="1234"/>
      <c r="S71" s="1234"/>
      <c r="T71" s="1727"/>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27"/>
      <c r="C72" s="1270" t="s">
        <v>1928</v>
      </c>
      <c r="D72" s="1270" t="s">
        <v>1930</v>
      </c>
      <c r="E72" s="1271" t="s">
        <v>1931</v>
      </c>
      <c r="F72" s="1234"/>
      <c r="G72" s="1234"/>
      <c r="H72" s="1234"/>
      <c r="I72" s="1234"/>
      <c r="J72" s="1234"/>
      <c r="K72" s="1234"/>
      <c r="L72" s="1234"/>
      <c r="M72" s="1234"/>
      <c r="N72" s="1234"/>
      <c r="O72" s="1234"/>
      <c r="P72" s="1234"/>
      <c r="Q72" s="1235"/>
      <c r="R72" s="1234"/>
      <c r="S72" s="1234"/>
      <c r="T72" s="1727"/>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27"/>
      <c r="C73" s="1270" t="s">
        <v>1928</v>
      </c>
      <c r="D73" s="1270" t="s">
        <v>1932</v>
      </c>
      <c r="E73" s="1271" t="s">
        <v>1718</v>
      </c>
      <c r="F73" s="1234"/>
      <c r="G73" s="1234"/>
      <c r="H73" s="1234"/>
      <c r="I73" s="1234"/>
      <c r="J73" s="1234"/>
      <c r="K73" s="1234"/>
      <c r="L73" s="1234"/>
      <c r="M73" s="1234"/>
      <c r="N73" s="1234"/>
      <c r="O73" s="1234"/>
      <c r="P73" s="1234"/>
      <c r="Q73" s="1235"/>
      <c r="R73" s="1234"/>
      <c r="S73" s="1234"/>
      <c r="T73" s="1727"/>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26"/>
      <c r="C74" s="1272" t="s">
        <v>1928</v>
      </c>
      <c r="D74" s="1272" t="s">
        <v>1933</v>
      </c>
      <c r="E74" s="1273" t="s">
        <v>1934</v>
      </c>
      <c r="F74" s="1234"/>
      <c r="G74" s="1234"/>
      <c r="H74" s="1234"/>
      <c r="I74" s="1234"/>
      <c r="J74" s="1234"/>
      <c r="K74" s="1234"/>
      <c r="L74" s="1234"/>
      <c r="M74" s="1234"/>
      <c r="N74" s="1234"/>
      <c r="O74" s="1234"/>
      <c r="P74" s="1234"/>
      <c r="Q74" s="1235"/>
      <c r="R74" s="1234"/>
      <c r="S74" s="1234"/>
      <c r="T74" s="1726"/>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22"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22"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24"/>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24"/>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24"/>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24"/>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24"/>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24"/>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24"/>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24"/>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24"/>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24"/>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24"/>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24"/>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24"/>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24"/>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24"/>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24"/>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24"/>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24"/>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25"/>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25"/>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22"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22"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27"/>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27"/>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24"/>
      <c r="C92" s="1302" t="s">
        <v>1952</v>
      </c>
      <c r="D92" s="1303" t="s">
        <v>126</v>
      </c>
      <c r="E92" s="1304" t="s">
        <v>128</v>
      </c>
      <c r="F92" s="1305" t="s">
        <v>1112</v>
      </c>
      <c r="G92" s="1263"/>
      <c r="H92" s="1263"/>
      <c r="I92" s="1263"/>
      <c r="J92" s="1263"/>
      <c r="K92" s="1263"/>
      <c r="L92" s="1263"/>
      <c r="M92" s="1263"/>
      <c r="N92" s="1263"/>
      <c r="O92" s="1263"/>
      <c r="P92" s="1263"/>
      <c r="Q92" s="1264"/>
      <c r="R92" s="1234"/>
      <c r="S92" s="1234"/>
      <c r="T92" s="1727"/>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24"/>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24"/>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24"/>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24"/>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22" t="s">
        <v>1925</v>
      </c>
      <c r="C95" s="1323" t="s">
        <v>1926</v>
      </c>
      <c r="D95" s="1324" t="s">
        <v>131</v>
      </c>
      <c r="E95" s="1324" t="s">
        <v>1927</v>
      </c>
      <c r="F95" s="1234"/>
      <c r="G95" s="1234"/>
      <c r="H95" s="1234"/>
      <c r="I95" s="1234"/>
      <c r="J95" s="1234"/>
      <c r="K95" s="1234"/>
      <c r="L95" s="1234"/>
      <c r="M95" s="1234"/>
      <c r="N95" s="1234"/>
      <c r="O95" s="1234"/>
      <c r="P95" s="1234"/>
      <c r="Q95" s="1235"/>
      <c r="R95" s="1234"/>
      <c r="S95" s="1234"/>
      <c r="T95" s="1722"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27"/>
      <c r="C96" s="1268" t="s">
        <v>1928</v>
      </c>
      <c r="D96" s="1268" t="s">
        <v>1929</v>
      </c>
      <c r="E96" s="1269"/>
      <c r="F96" s="1234"/>
      <c r="G96" s="1234"/>
      <c r="H96" s="1234"/>
      <c r="I96" s="1234"/>
      <c r="J96" s="1234"/>
      <c r="K96" s="1234"/>
      <c r="L96" s="1234"/>
      <c r="M96" s="1234"/>
      <c r="N96" s="1234"/>
      <c r="O96" s="1234"/>
      <c r="P96" s="1234"/>
      <c r="Q96" s="1235"/>
      <c r="R96" s="1234"/>
      <c r="S96" s="1234"/>
      <c r="T96" s="1727"/>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27"/>
      <c r="C97" s="1270" t="s">
        <v>1928</v>
      </c>
      <c r="D97" s="1270" t="s">
        <v>1930</v>
      </c>
      <c r="E97" s="1271" t="s">
        <v>1931</v>
      </c>
      <c r="F97" s="1234"/>
      <c r="G97" s="1234"/>
      <c r="H97" s="1234"/>
      <c r="I97" s="1234"/>
      <c r="J97" s="1234"/>
      <c r="K97" s="1234"/>
      <c r="L97" s="1234"/>
      <c r="M97" s="1234"/>
      <c r="N97" s="1234"/>
      <c r="O97" s="1234"/>
      <c r="P97" s="1234"/>
      <c r="Q97" s="1235"/>
      <c r="R97" s="1234"/>
      <c r="S97" s="1234"/>
      <c r="T97" s="1727"/>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27"/>
      <c r="C98" s="1270" t="s">
        <v>1928</v>
      </c>
      <c r="D98" s="1270" t="s">
        <v>1932</v>
      </c>
      <c r="E98" s="1271" t="s">
        <v>1718</v>
      </c>
      <c r="F98" s="1234"/>
      <c r="G98" s="1234"/>
      <c r="H98" s="1234"/>
      <c r="I98" s="1234"/>
      <c r="J98" s="1234"/>
      <c r="K98" s="1234"/>
      <c r="L98" s="1234"/>
      <c r="M98" s="1234"/>
      <c r="N98" s="1234"/>
      <c r="O98" s="1234"/>
      <c r="P98" s="1234"/>
      <c r="Q98" s="1235"/>
      <c r="R98" s="1234"/>
      <c r="S98" s="1234"/>
      <c r="T98" s="1727"/>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26"/>
      <c r="C99" s="1272" t="s">
        <v>1928</v>
      </c>
      <c r="D99" s="1272" t="s">
        <v>1933</v>
      </c>
      <c r="E99" s="1273" t="s">
        <v>1934</v>
      </c>
      <c r="F99" s="1234"/>
      <c r="G99" s="1234"/>
      <c r="H99" s="1234"/>
      <c r="I99" s="1234"/>
      <c r="J99" s="1234"/>
      <c r="K99" s="1234"/>
      <c r="L99" s="1234"/>
      <c r="M99" s="1234"/>
      <c r="N99" s="1234"/>
      <c r="O99" s="1234"/>
      <c r="P99" s="1234"/>
      <c r="Q99" s="1235"/>
      <c r="R99" s="1234"/>
      <c r="S99" s="1234"/>
      <c r="T99" s="1726"/>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22"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22"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24"/>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24"/>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24"/>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24"/>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24"/>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24"/>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24"/>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24"/>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24"/>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24"/>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24"/>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24"/>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24"/>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24"/>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24"/>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24"/>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24"/>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24"/>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25"/>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25"/>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67"/>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67"/>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22"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22"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27"/>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27"/>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24"/>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27"/>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24"/>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24"/>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24"/>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24"/>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24"/>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24"/>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24"/>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24"/>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24"/>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24"/>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25"/>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25"/>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22"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22"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27"/>
      <c r="C125" s="1268" t="s">
        <v>1928</v>
      </c>
      <c r="D125" s="1268" t="s">
        <v>1929</v>
      </c>
      <c r="E125" s="1269"/>
      <c r="F125" s="1234"/>
      <c r="G125" s="1234"/>
      <c r="H125" s="1234"/>
      <c r="I125" s="1234"/>
      <c r="J125" s="1234"/>
      <c r="K125" s="1234"/>
      <c r="L125" s="1234"/>
      <c r="M125" s="1234"/>
      <c r="N125" s="1234"/>
      <c r="O125" s="1234"/>
      <c r="P125" s="1234"/>
      <c r="Q125" s="1235"/>
      <c r="R125" s="1234"/>
      <c r="S125" s="1234"/>
      <c r="T125" s="1727"/>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27"/>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27"/>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27"/>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27"/>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26"/>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26"/>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22"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22"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24"/>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24"/>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24"/>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24"/>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24"/>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24"/>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24"/>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24"/>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24"/>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24"/>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24"/>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24"/>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24"/>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24"/>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24"/>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24"/>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24"/>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24"/>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25"/>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25"/>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67"/>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67"/>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28"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28"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29"/>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29"/>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42"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42"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24"/>
      <c r="C147" s="1268" t="s">
        <v>1928</v>
      </c>
      <c r="D147" s="1268" t="s">
        <v>1929</v>
      </c>
      <c r="E147" s="1269"/>
      <c r="F147" s="1234"/>
      <c r="G147" s="1234"/>
      <c r="H147" s="1234"/>
      <c r="I147" s="1234"/>
      <c r="J147" s="1234"/>
      <c r="K147" s="1234"/>
      <c r="L147" s="1234"/>
      <c r="M147" s="1234"/>
      <c r="N147" s="1234"/>
      <c r="O147" s="1234"/>
      <c r="P147" s="1235"/>
      <c r="Q147" s="1234"/>
      <c r="R147" s="1234"/>
      <c r="S147" s="1234"/>
      <c r="T147" s="1724"/>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24"/>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24"/>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24"/>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24"/>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25"/>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25"/>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22"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22"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24"/>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24"/>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24"/>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24"/>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24"/>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24"/>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24"/>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24"/>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24"/>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24"/>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24"/>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24"/>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24"/>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24"/>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24"/>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24"/>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24"/>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24"/>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25"/>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25"/>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67"/>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67"/>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22"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22"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27"/>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27"/>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24"/>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27"/>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24"/>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27"/>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25"/>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26"/>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22"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22"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27"/>
      <c r="C172" s="1268" t="s">
        <v>1928</v>
      </c>
      <c r="D172" s="1268" t="s">
        <v>1929</v>
      </c>
      <c r="E172" s="1269"/>
      <c r="F172" s="1234"/>
      <c r="G172" s="1234"/>
      <c r="H172" s="1234"/>
      <c r="I172" s="1234"/>
      <c r="J172" s="1234"/>
      <c r="K172" s="1234"/>
      <c r="L172" s="1234"/>
      <c r="M172" s="1234"/>
      <c r="N172" s="1234"/>
      <c r="O172" s="1234"/>
      <c r="P172" s="1234"/>
      <c r="Q172" s="1235"/>
      <c r="R172" s="1234"/>
      <c r="S172" s="1234"/>
      <c r="T172" s="1727"/>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27"/>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27"/>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27"/>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27"/>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26"/>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26"/>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22"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22"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24"/>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24"/>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24"/>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24"/>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24"/>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24"/>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24"/>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24"/>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24"/>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24"/>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24"/>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24"/>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24"/>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24"/>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24"/>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24"/>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24"/>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24"/>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25"/>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25"/>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67"/>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67"/>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22"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22"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27"/>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27"/>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24"/>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27"/>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24"/>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24"/>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24"/>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24"/>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24"/>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24"/>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24"/>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24"/>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24"/>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24"/>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25"/>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25"/>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22"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22"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27"/>
      <c r="C201" s="1268" t="s">
        <v>1928</v>
      </c>
      <c r="D201" s="1268" t="s">
        <v>1929</v>
      </c>
      <c r="E201" s="1269"/>
      <c r="F201" s="1234"/>
      <c r="G201" s="1234"/>
      <c r="H201" s="1234"/>
      <c r="I201" s="1234"/>
      <c r="J201" s="1234"/>
      <c r="K201" s="1234"/>
      <c r="L201" s="1234"/>
      <c r="M201" s="1234"/>
      <c r="N201" s="1234"/>
      <c r="O201" s="1234"/>
      <c r="P201" s="1234"/>
      <c r="Q201" s="1235"/>
      <c r="R201" s="1234"/>
      <c r="S201" s="1234"/>
      <c r="T201" s="1727"/>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27"/>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27"/>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27"/>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27"/>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26"/>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26"/>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22"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22"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24"/>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24"/>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24"/>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24"/>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24"/>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24"/>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24"/>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24"/>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24"/>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24"/>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24"/>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24"/>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24"/>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24"/>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24"/>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24"/>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24"/>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24"/>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25"/>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25"/>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67"/>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67"/>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67"/>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67"/>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67"/>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22"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22"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22"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22"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22"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27"/>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27"/>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27"/>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27"/>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27"/>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24"/>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27"/>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27"/>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27"/>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27"/>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24"/>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27"/>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27"/>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27"/>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27"/>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25"/>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26"/>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26"/>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26"/>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26"/>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22"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22"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22"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22"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22"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27"/>
      <c r="C226" s="1268" t="s">
        <v>1928</v>
      </c>
      <c r="D226" s="1268" t="s">
        <v>1929</v>
      </c>
      <c r="E226" s="1269"/>
      <c r="F226" s="1234"/>
      <c r="G226" s="1234"/>
      <c r="H226" s="1234"/>
      <c r="I226" s="1234"/>
      <c r="J226" s="1234"/>
      <c r="K226" s="1234"/>
      <c r="L226" s="1234"/>
      <c r="M226" s="1234"/>
      <c r="N226" s="1234"/>
      <c r="O226" s="1234"/>
      <c r="P226" s="1234"/>
      <c r="Q226" s="1235"/>
      <c r="R226" s="1234"/>
      <c r="S226" s="1234"/>
      <c r="T226" s="1727"/>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27"/>
      <c r="AM226" s="1268" t="s">
        <v>1928</v>
      </c>
      <c r="AN226" s="1268" t="s">
        <v>1929</v>
      </c>
      <c r="AO226" s="1269"/>
      <c r="AP226" s="1234"/>
      <c r="AQ226" s="1234"/>
      <c r="AR226" s="1234"/>
      <c r="AS226" s="1234"/>
      <c r="AT226" s="1234"/>
      <c r="AU226" s="1234"/>
      <c r="AV226" s="1234"/>
      <c r="AW226" s="1234"/>
      <c r="AX226" s="1234"/>
      <c r="AY226" s="1234"/>
      <c r="AZ226" s="1234"/>
      <c r="BA226" s="1235"/>
      <c r="BB226" s="1234"/>
      <c r="BC226" s="1727"/>
      <c r="BD226" s="1268" t="s">
        <v>1928</v>
      </c>
      <c r="BE226" s="1268" t="s">
        <v>1929</v>
      </c>
      <c r="BF226" s="1269"/>
      <c r="BG226" s="1234"/>
      <c r="BH226" s="1234"/>
      <c r="BI226" s="1234"/>
      <c r="BJ226" s="1234"/>
      <c r="BK226" s="1234"/>
      <c r="BL226" s="1234"/>
      <c r="BM226" s="1234"/>
      <c r="BN226" s="1234"/>
      <c r="BO226" s="1234"/>
      <c r="BP226" s="1234"/>
      <c r="BQ226" s="1234"/>
      <c r="BR226" s="1235"/>
      <c r="BS226" s="1234"/>
      <c r="BT226" s="1727"/>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27"/>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27"/>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27"/>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27"/>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27"/>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27"/>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27"/>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27"/>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27"/>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27"/>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26"/>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26"/>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26"/>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26"/>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26"/>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22"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22"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22"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22"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22"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24"/>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24"/>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24"/>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24"/>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24"/>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24"/>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24"/>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24"/>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24"/>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24"/>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24"/>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24"/>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24"/>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24"/>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24"/>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24"/>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24"/>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24"/>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24"/>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24"/>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24"/>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24"/>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24"/>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24"/>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24"/>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24"/>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24"/>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24"/>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24"/>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24"/>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24"/>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24"/>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24"/>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24"/>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24"/>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24"/>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24"/>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24"/>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24"/>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24"/>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24"/>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24"/>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24"/>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24"/>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24"/>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25"/>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25"/>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25"/>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25"/>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25"/>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67"/>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22"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27"/>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24"/>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24"/>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25"/>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22"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27"/>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27"/>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27"/>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26"/>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22"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24"/>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24"/>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24"/>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24"/>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24"/>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24"/>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24"/>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24"/>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24"/>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25"/>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67"/>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67"/>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22"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22"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27"/>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27"/>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22"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22"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24"/>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24"/>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24"/>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24"/>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24"/>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24"/>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24"/>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24"/>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24"/>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24"/>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24"/>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24"/>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24"/>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24"/>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24"/>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24"/>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24"/>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24"/>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25"/>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25"/>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67"/>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22"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27"/>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22"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24"/>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24"/>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24"/>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24"/>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24"/>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24"/>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24"/>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24"/>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24"/>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25"/>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67"/>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28"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29"/>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22"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24"/>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24"/>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24"/>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24"/>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24"/>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24"/>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24"/>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24"/>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24"/>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25"/>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67"/>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22"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26"/>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22"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24"/>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24"/>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24"/>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24"/>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24"/>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24"/>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24"/>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24"/>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24"/>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25"/>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22"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26"/>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67"/>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22"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26"/>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22"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24"/>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24"/>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24"/>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24"/>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24"/>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24"/>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24"/>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24"/>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24"/>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25"/>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22"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26"/>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67"/>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67"/>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22"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22"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26"/>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26"/>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22"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22"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24"/>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24"/>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24"/>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24"/>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24"/>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24"/>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24"/>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24"/>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24"/>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24"/>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24"/>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24"/>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24"/>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24"/>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24"/>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24"/>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24"/>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24"/>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25"/>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25"/>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67"/>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67"/>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22"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22"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23"/>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23"/>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23"/>
      <c r="C378" s="1372" cm="1">
        <f t="array" aca="1" ref="C378" ca="1">INDIRECT("'Incentives Worksheet'!J"&amp;'Configurable Tab'!H33+7)</f>
        <v>2</v>
      </c>
      <c r="D378" s="1472" t="str" cm="1">
        <f t="array" aca="1" ref="D378" ca="1">IF(INDIRECT("'Incentives Worksheet'!L"&amp;'Configurable Tab'!H33+7)=0,"",INDIRECT("'Incentives Worksheet'!L"&amp;'Configurable Tab'!H33+7))</f>
        <v/>
      </c>
      <c r="E378" s="1472"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23"/>
      <c r="U378" s="1314" cm="1">
        <f t="array" aca="1" ref="U378" ca="1">INDIRECT("'Incentives Worksheet'!J"&amp;'Configurable Tab'!H34+7)</f>
        <v>2</v>
      </c>
      <c r="V378" s="1472" t="str" cm="1">
        <f t="array" aca="1" ref="V378" ca="1">IF(INDIRECT("'Incentives Worksheet'!L"&amp;'Configurable Tab'!H34+7)=0,"",INDIRECT("'Incentives Worksheet'!L"&amp;'Configurable Tab'!H34+7))</f>
        <v/>
      </c>
      <c r="W378" s="1472"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23"/>
      <c r="C379" s="1372" cm="1">
        <f t="array" aca="1" ref="C379" ca="1">INDIRECT("'Incentives Worksheet'!J"&amp;'Configurable Tab'!H33+8)</f>
        <v>3</v>
      </c>
      <c r="D379" s="1472" t="str" cm="1">
        <f t="array" aca="1" ref="D379" ca="1">IF(INDIRECT("'Incentives Worksheet'!L"&amp;'Configurable Tab'!H33+8)=0,"",INDIRECT("'Incentives Worksheet'!L"&amp;'Configurable Tab'!H33+8))</f>
        <v/>
      </c>
      <c r="E379" s="1472"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23"/>
      <c r="U379" s="1314" cm="1">
        <f t="array" aca="1" ref="U379" ca="1">INDIRECT("'Incentives Worksheet'!J"&amp;'Configurable Tab'!H34+8)</f>
        <v>3</v>
      </c>
      <c r="V379" s="1472" t="str" cm="1">
        <f t="array" aca="1" ref="V379" ca="1">IF(INDIRECT("'Incentives Worksheet'!L"&amp;'Configurable Tab'!H34+8)=0,"",INDIRECT("'Incentives Worksheet'!L"&amp;'Configurable Tab'!H34+8))</f>
        <v/>
      </c>
      <c r="W379" s="1472"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23"/>
      <c r="C380" s="1372" cm="1">
        <f t="array" aca="1" ref="C380" ca="1">INDIRECT("'Incentives Worksheet'!J"&amp;'Configurable Tab'!H33+9)</f>
        <v>4</v>
      </c>
      <c r="D380" s="1472" t="str" cm="1">
        <f t="array" aca="1" ref="D380" ca="1">IF(INDIRECT("'Incentives Worksheet'!L"&amp;'Configurable Tab'!H33+9)=0,"",INDIRECT("'Incentives Worksheet'!L"&amp;'Configurable Tab'!H33+9))</f>
        <v/>
      </c>
      <c r="E380" s="1472"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23"/>
      <c r="U380" s="1314" cm="1">
        <f t="array" aca="1" ref="U380" ca="1">INDIRECT("'Incentives Worksheet'!J"&amp;'Configurable Tab'!H34+9)</f>
        <v>4</v>
      </c>
      <c r="V380" s="1472" t="str" cm="1">
        <f t="array" aca="1" ref="V380" ca="1">IF(INDIRECT("'Incentives Worksheet'!L"&amp;'Configurable Tab'!H34+9)=0,"",INDIRECT("'Incentives Worksheet'!L"&amp;'Configurable Tab'!H34+9))</f>
        <v/>
      </c>
      <c r="W380" s="1472"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24"/>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24"/>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22"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22"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24"/>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24"/>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24"/>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24"/>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24"/>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24"/>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24"/>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24"/>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24"/>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24"/>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24"/>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24"/>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24"/>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24"/>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24"/>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24"/>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24"/>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24"/>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25"/>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25"/>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67"/>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67"/>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22"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22"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23"/>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23"/>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23"/>
      <c r="C399" s="1314" cm="1">
        <f t="array" aca="1" ref="C399" ca="1">INDIRECT("'Incentives Worksheet'!J"&amp;'Configurable Tab'!H35+7)</f>
        <v>2</v>
      </c>
      <c r="D399" s="1472" t="str" cm="1">
        <f t="array" aca="1" ref="D399" ca="1">IF(INDIRECT("'Incentives Worksheet'!L"&amp;'Configurable Tab'!H35+7)=0,"",INDIRECT("'Incentives Worksheet'!L"&amp;'Configurable Tab'!H35+7))</f>
        <v/>
      </c>
      <c r="E399" s="1472" t="str">
        <f>'Agreement Worksheet'!H18</f>
        <v/>
      </c>
      <c r="F399" s="1234"/>
      <c r="G399" s="1258"/>
      <c r="H399" s="1258"/>
      <c r="I399" s="1234"/>
      <c r="J399" s="1234"/>
      <c r="K399" s="1234"/>
      <c r="L399" s="1234"/>
      <c r="M399" s="1235"/>
      <c r="N399" s="1234"/>
      <c r="O399" s="1234"/>
      <c r="P399" s="1234"/>
      <c r="Q399" s="1234"/>
      <c r="R399" s="1234"/>
      <c r="S399" s="1234"/>
      <c r="T399" s="1723"/>
      <c r="U399" s="1314" cm="1">
        <f t="array" aca="1" ref="U399" ca="1">INDIRECT("'Incentives Worksheet'!J"&amp;'Configurable Tab'!H36+7)</f>
        <v>2</v>
      </c>
      <c r="V399" s="1472" t="str" cm="1">
        <f t="array" aca="1" ref="V399" ca="1">IF(INDIRECT("'Incentives Worksheet'!L"&amp;'Configurable Tab'!H36+7)=0,"",INDIRECT("'Incentives Worksheet'!L"&amp;'Configurable Tab'!H36+7))</f>
        <v/>
      </c>
      <c r="W399" s="1472"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23"/>
      <c r="C400" s="1314" cm="1">
        <f t="array" aca="1" ref="C400" ca="1">INDIRECT("'Incentives Worksheet'!J"&amp;'Configurable Tab'!H35+8)</f>
        <v>3</v>
      </c>
      <c r="D400" s="1472" t="str" cm="1">
        <f t="array" aca="1" ref="D400" ca="1">IF(INDIRECT("'Incentives Worksheet'!L"&amp;'Configurable Tab'!H35+8)=0,"",INDIRECT("'Incentives Worksheet'!L"&amp;'Configurable Tab'!H35+8))</f>
        <v/>
      </c>
      <c r="E400" s="1472" t="str">
        <f>'Agreement Worksheet'!H18</f>
        <v/>
      </c>
      <c r="F400" s="1234"/>
      <c r="G400" s="1258"/>
      <c r="H400" s="1258"/>
      <c r="I400" s="1234"/>
      <c r="J400" s="1234"/>
      <c r="K400" s="1234"/>
      <c r="L400" s="1234"/>
      <c r="M400" s="1235"/>
      <c r="N400" s="1234"/>
      <c r="O400" s="1234"/>
      <c r="P400" s="1234"/>
      <c r="Q400" s="1234"/>
      <c r="R400" s="1234"/>
      <c r="S400" s="1234"/>
      <c r="T400" s="1723"/>
      <c r="U400" s="1314" cm="1">
        <f t="array" aca="1" ref="U400" ca="1">INDIRECT("'Incentives Worksheet'!J"&amp;'Configurable Tab'!H36+8)</f>
        <v>3</v>
      </c>
      <c r="V400" s="1472" t="str" cm="1">
        <f t="array" aca="1" ref="V400" ca="1">IF(INDIRECT("'Incentives Worksheet'!L"&amp;'Configurable Tab'!H36+8)=0,"",INDIRECT("'Incentives Worksheet'!L"&amp;'Configurable Tab'!H36+8))</f>
        <v/>
      </c>
      <c r="W400" s="1472"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23"/>
      <c r="C401" s="1314" cm="1">
        <f t="array" aca="1" ref="C401" ca="1">INDIRECT("'Incentives Worksheet'!J"&amp;'Configurable Tab'!H35+9)</f>
        <v>4</v>
      </c>
      <c r="D401" s="1472" t="str" cm="1">
        <f t="array" aca="1" ref="D401" ca="1">IF(INDIRECT("'Incentives Worksheet'!L"&amp;'Configurable Tab'!H35+9)=0,"",INDIRECT("'Incentives Worksheet'!L"&amp;'Configurable Tab'!H35+9))</f>
        <v/>
      </c>
      <c r="E401" s="1472" t="str">
        <f>'Agreement Worksheet'!H18</f>
        <v/>
      </c>
      <c r="F401" s="1234"/>
      <c r="G401" s="1258"/>
      <c r="H401" s="1258"/>
      <c r="I401" s="1234"/>
      <c r="J401" s="1234"/>
      <c r="K401" s="1234"/>
      <c r="L401" s="1234"/>
      <c r="M401" s="1235"/>
      <c r="N401" s="1234"/>
      <c r="O401" s="1234"/>
      <c r="P401" s="1234"/>
      <c r="Q401" s="1234"/>
      <c r="R401" s="1234"/>
      <c r="S401" s="1234"/>
      <c r="T401" s="1723"/>
      <c r="U401" s="1314" cm="1">
        <f t="array" aca="1" ref="U401" ca="1">INDIRECT("'Incentives Worksheet'!J"&amp;'Configurable Tab'!H36+9)</f>
        <v>4</v>
      </c>
      <c r="V401" s="1472" t="str" cm="1">
        <f t="array" aca="1" ref="V401" ca="1">IF(INDIRECT("'Incentives Worksheet'!L"&amp;'Configurable Tab'!H36+9)=0,"",INDIRECT("'Incentives Worksheet'!L"&amp;'Configurable Tab'!H36+9))</f>
        <v/>
      </c>
      <c r="W401" s="1472"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24"/>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24"/>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22"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22"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24"/>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24"/>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24"/>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24"/>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24"/>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24"/>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24"/>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24"/>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24"/>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24"/>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24"/>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24"/>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24"/>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24"/>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24"/>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24"/>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24"/>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24"/>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25"/>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25"/>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67"/>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0" t="s">
        <v>718</v>
      </c>
      <c r="C2" s="1831"/>
      <c r="D2" s="1831"/>
      <c r="E2" s="1831"/>
      <c r="F2" s="1831"/>
      <c r="G2" s="1831"/>
      <c r="H2" s="1831"/>
      <c r="I2" s="1831"/>
      <c r="J2" s="1831"/>
      <c r="K2" s="1831"/>
      <c r="L2" s="1831"/>
      <c r="M2" s="1831"/>
      <c r="N2" s="1831"/>
      <c r="O2" s="1831"/>
      <c r="P2" s="1831"/>
      <c r="Q2" s="1831"/>
      <c r="R2" s="1831"/>
      <c r="S2" s="1831"/>
      <c r="T2" s="1831"/>
      <c r="U2" s="1831"/>
      <c r="V2" s="1831"/>
      <c r="W2" s="1831"/>
      <c r="X2" s="1831"/>
      <c r="Y2" s="1831"/>
      <c r="Z2" s="1831"/>
      <c r="AA2" s="1831"/>
      <c r="AB2" s="1831"/>
      <c r="AC2" s="1831"/>
      <c r="AD2" s="1831"/>
      <c r="AE2" s="1831"/>
      <c r="AF2" s="1831"/>
      <c r="AG2" s="1831"/>
      <c r="AH2" s="1831"/>
      <c r="AI2" s="1831"/>
      <c r="AJ2" s="1831"/>
      <c r="AK2" s="1831"/>
      <c r="AL2" s="1831"/>
      <c r="AM2" s="1831"/>
      <c r="AN2" s="1831"/>
      <c r="AO2" s="1831"/>
      <c r="AP2" s="1831"/>
      <c r="AQ2" s="1831"/>
      <c r="AR2" s="1831"/>
      <c r="AS2" s="1831"/>
      <c r="AT2" s="1831"/>
      <c r="AU2" s="1831"/>
      <c r="AV2" s="1831"/>
      <c r="AW2" s="1831"/>
      <c r="AX2" s="1831"/>
      <c r="AY2" s="1831"/>
      <c r="AZ2" s="1831"/>
      <c r="BA2" s="1831"/>
      <c r="BB2" s="1831"/>
      <c r="BC2" s="1831"/>
      <c r="BD2" s="1831"/>
      <c r="BE2" s="1831"/>
      <c r="BF2" s="1832"/>
    </row>
    <row r="3" spans="2:68" x14ac:dyDescent="0.25">
      <c r="B3" s="1833"/>
      <c r="C3" s="1798"/>
      <c r="D3" s="1798"/>
      <c r="E3" s="1798"/>
      <c r="F3" s="1798"/>
      <c r="G3" s="1798"/>
      <c r="H3" s="1798"/>
      <c r="I3" s="1798"/>
      <c r="J3" s="1798"/>
      <c r="K3" s="1798"/>
      <c r="L3" s="1798"/>
      <c r="M3" s="1798"/>
      <c r="N3" s="1798"/>
      <c r="O3" s="1798"/>
      <c r="P3" s="1798"/>
      <c r="Q3" s="1798"/>
      <c r="R3" s="1798"/>
      <c r="S3" s="1798"/>
      <c r="T3" s="1798"/>
      <c r="U3" s="1798"/>
      <c r="V3" s="1798"/>
      <c r="W3" s="1798"/>
      <c r="X3" s="1798"/>
      <c r="Y3" s="1798"/>
      <c r="Z3" s="1798"/>
      <c r="AA3" s="1798"/>
      <c r="AB3" s="1798"/>
      <c r="AC3" s="1798"/>
      <c r="AD3" s="1798"/>
      <c r="AE3" s="1798"/>
      <c r="AF3" s="1798"/>
      <c r="AG3" s="1798"/>
      <c r="AH3" s="1798"/>
      <c r="AI3" s="1798"/>
      <c r="AJ3" s="1798"/>
      <c r="AK3" s="1798"/>
      <c r="AL3" s="1798"/>
      <c r="AM3" s="1798"/>
      <c r="AN3" s="1798"/>
      <c r="AO3" s="1798"/>
      <c r="AP3" s="1798"/>
      <c r="AQ3" s="1798"/>
      <c r="AR3" s="1798"/>
      <c r="AS3" s="1798"/>
      <c r="AT3" s="1798"/>
      <c r="AU3" s="1798"/>
      <c r="AV3" s="1798"/>
      <c r="AW3" s="1798"/>
      <c r="AX3" s="1798"/>
      <c r="AY3" s="1798"/>
      <c r="AZ3" s="1798"/>
      <c r="BA3" s="1798"/>
      <c r="BB3" s="1798"/>
      <c r="BC3" s="1798"/>
      <c r="BD3" s="1798"/>
      <c r="BE3" s="1798"/>
      <c r="BF3" s="18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4" t="s">
        <v>647</v>
      </c>
      <c r="C8" s="1815"/>
      <c r="D8" s="1815"/>
      <c r="E8" s="1815"/>
      <c r="F8" s="1815"/>
      <c r="G8" s="1815"/>
      <c r="H8" s="1815"/>
      <c r="I8" s="1815"/>
      <c r="J8" s="1815"/>
      <c r="K8" s="1815"/>
      <c r="L8" s="1815"/>
      <c r="M8" s="1815"/>
      <c r="N8" s="1815"/>
      <c r="O8" s="1815"/>
      <c r="P8" s="1815"/>
      <c r="Q8" s="1815"/>
      <c r="R8" s="1815"/>
      <c r="S8" s="1815"/>
      <c r="T8" s="1815"/>
      <c r="U8" s="1815"/>
      <c r="V8" s="1815"/>
      <c r="W8" s="1815"/>
      <c r="X8" s="1815"/>
      <c r="Y8" s="1815"/>
      <c r="Z8" s="1815"/>
      <c r="AA8" s="1815"/>
      <c r="AB8" s="1815"/>
      <c r="AC8" s="1815"/>
      <c r="AD8" s="1815"/>
      <c r="AE8" s="1815"/>
      <c r="AF8" s="1815"/>
      <c r="AG8" s="1815"/>
      <c r="AH8" s="1815"/>
      <c r="AI8" s="1815"/>
      <c r="AJ8" s="1815"/>
      <c r="AK8" s="1815"/>
      <c r="AL8" s="1815"/>
      <c r="AM8" s="1815"/>
      <c r="AN8" s="1815"/>
      <c r="AO8" s="1815"/>
      <c r="AP8" s="1815"/>
      <c r="AQ8" s="1815"/>
      <c r="AR8" s="1815"/>
      <c r="AS8" s="1815"/>
      <c r="AT8" s="1815"/>
      <c r="AU8" s="1815"/>
      <c r="AV8" s="1815"/>
      <c r="AW8" s="1815"/>
      <c r="AX8" s="1815"/>
      <c r="AY8" s="1815"/>
      <c r="AZ8" s="1815"/>
      <c r="BA8" s="1815"/>
      <c r="BB8" s="1815"/>
      <c r="BC8" s="1815"/>
      <c r="BD8" s="1815"/>
      <c r="BE8" s="1815"/>
      <c r="BF8" s="181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10" t="s">
        <v>846</v>
      </c>
      <c r="C10" s="1716"/>
      <c r="D10" s="1716"/>
      <c r="E10" s="1716"/>
      <c r="F10" s="1716"/>
      <c r="G10" s="1716"/>
      <c r="H10" s="1716"/>
      <c r="I10" s="1716"/>
      <c r="J10" s="1716"/>
      <c r="K10" s="1806">
        <f>'Tracking &amp; Profitability'!$H$5</f>
        <v>0</v>
      </c>
      <c r="L10" s="1806"/>
      <c r="M10" s="1806"/>
      <c r="N10" s="1806"/>
      <c r="O10" s="1806"/>
      <c r="P10" s="1806"/>
      <c r="Q10" s="1806"/>
      <c r="R10" s="1806"/>
      <c r="S10" s="1806"/>
      <c r="T10" s="1806"/>
      <c r="U10" s="1806"/>
      <c r="V10" s="1806"/>
      <c r="W10" s="1806"/>
      <c r="X10" s="1806"/>
      <c r="Y10" s="1806"/>
      <c r="Z10" s="1806"/>
      <c r="AA10" s="1806"/>
      <c r="AB10" s="1806"/>
      <c r="AC10" s="1806"/>
      <c r="AD10" s="1806"/>
      <c r="AE10" s="1806"/>
      <c r="AI10" s="1716" t="s">
        <v>717</v>
      </c>
      <c r="AJ10" s="1716"/>
      <c r="AK10" s="1716"/>
      <c r="AL10" s="1716"/>
      <c r="AM10" s="1716"/>
      <c r="AN10" s="1716"/>
      <c r="AO10" s="1716"/>
      <c r="AP10" s="1716"/>
      <c r="AQ10" s="1716"/>
      <c r="AR10" s="1716"/>
      <c r="AT10" s="1825"/>
      <c r="AU10" s="1825"/>
      <c r="AV10" s="1825"/>
      <c r="AW10" s="1825"/>
      <c r="AX10" s="1825"/>
      <c r="AY10" s="1825"/>
      <c r="AZ10" s="1825"/>
      <c r="BA10" s="1825"/>
      <c r="BB10" s="1825"/>
      <c r="BC10" s="1825"/>
      <c r="BD10" s="1825"/>
      <c r="BF10" s="138"/>
    </row>
    <row r="11" spans="2:68" x14ac:dyDescent="0.25">
      <c r="B11" s="137"/>
      <c r="AL11" s="2"/>
      <c r="AM11" s="2"/>
      <c r="AN11" s="2"/>
      <c r="AO11" s="2"/>
      <c r="AP11" s="2"/>
      <c r="AQ11" s="2"/>
      <c r="AR11" s="2"/>
      <c r="AS11" s="2"/>
      <c r="AT11" s="2"/>
      <c r="AU11" s="2"/>
      <c r="AV11" s="2"/>
      <c r="BF11" s="138"/>
    </row>
    <row r="12" spans="2:68" x14ac:dyDescent="0.25">
      <c r="B12" s="1809" t="s">
        <v>847</v>
      </c>
      <c r="C12" s="1802"/>
      <c r="D12" s="1802"/>
      <c r="E12" s="1802"/>
      <c r="F12" s="1802"/>
      <c r="G12" s="1802"/>
      <c r="H12" s="1802"/>
      <c r="I12" s="1802"/>
      <c r="J12" s="1802"/>
      <c r="K12" s="1781">
        <f>'Required Info to Submit'!$F$4</f>
        <v>0</v>
      </c>
      <c r="L12" s="1781"/>
      <c r="M12" s="1781"/>
      <c r="N12" s="1781"/>
      <c r="O12" s="1781"/>
      <c r="P12" s="1781"/>
      <c r="Q12" s="1781"/>
      <c r="R12" s="1781"/>
      <c r="S12" s="1781"/>
      <c r="T12" s="1781"/>
      <c r="U12" s="1781"/>
      <c r="V12" s="1781"/>
      <c r="W12" s="1781"/>
      <c r="X12" s="1781"/>
      <c r="Y12" s="1781"/>
      <c r="Z12" s="1781"/>
      <c r="AA12" s="1781"/>
      <c r="AB12" s="1781"/>
      <c r="AC12" s="1781"/>
      <c r="AD12" s="1781"/>
      <c r="AE12" s="17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9" t="s">
        <v>858</v>
      </c>
      <c r="C14" s="1802"/>
      <c r="D14" s="1802"/>
      <c r="E14" s="1802"/>
      <c r="F14" s="1802"/>
      <c r="G14" s="1802"/>
      <c r="H14" s="1802"/>
      <c r="I14" s="1802"/>
      <c r="J14" s="1802"/>
      <c r="K14" s="1802"/>
      <c r="L14" s="1802"/>
      <c r="M14" s="1802"/>
      <c r="N14" s="1802"/>
      <c r="O14" s="1802"/>
      <c r="P14" s="1802"/>
      <c r="Q14" s="1802"/>
      <c r="R14" s="1820">
        <f>'Required Info to Submit'!$F$6</f>
        <v>0</v>
      </c>
      <c r="S14" s="1820"/>
      <c r="T14" s="1820"/>
      <c r="U14" s="1820"/>
      <c r="V14" s="1820"/>
      <c r="W14" s="1820"/>
      <c r="X14" s="1820"/>
      <c r="Y14" s="1820"/>
      <c r="Z14" s="1820"/>
      <c r="AA14" s="1820"/>
      <c r="AB14" s="1820"/>
      <c r="AC14" s="1820"/>
      <c r="AD14" s="1820"/>
      <c r="AE14" s="1820"/>
      <c r="AF14" s="1820"/>
      <c r="AG14" s="1820"/>
      <c r="AH14" s="1820"/>
      <c r="AI14" s="1820"/>
      <c r="AJ14" s="1820"/>
      <c r="AK14" s="1820"/>
      <c r="AL14" s="1820"/>
      <c r="AM14" s="1820"/>
      <c r="AN14" s="1820"/>
      <c r="AO14" s="1820"/>
      <c r="AP14" s="1820"/>
      <c r="AQ14" s="1820"/>
      <c r="AR14" s="1820"/>
      <c r="AS14" s="1820"/>
      <c r="AT14" s="1820"/>
      <c r="AU14" s="1820"/>
      <c r="AV14" s="1820"/>
      <c r="AW14" s="1820"/>
      <c r="AX14" s="1820"/>
      <c r="AY14" s="1820"/>
      <c r="AZ14" s="1820"/>
      <c r="BA14" s="1820"/>
      <c r="BB14" s="1820"/>
      <c r="BC14" s="1820"/>
      <c r="BD14" s="182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09" t="s">
        <v>716</v>
      </c>
      <c r="C16" s="1802"/>
      <c r="D16" s="1802"/>
      <c r="E16" s="1802"/>
      <c r="F16" s="1802"/>
      <c r="G16" s="1802"/>
      <c r="H16" s="1802"/>
      <c r="I16" s="1802"/>
      <c r="J16" s="1802"/>
      <c r="K16" s="1802"/>
      <c r="L16" s="1802"/>
      <c r="M16" s="1802"/>
      <c r="N16" s="1802"/>
      <c r="O16" s="1802"/>
      <c r="P16" s="1802"/>
      <c r="Q16" s="1802"/>
      <c r="R16" s="1781" t="s">
        <v>240</v>
      </c>
      <c r="S16" s="1781"/>
      <c r="T16" s="1798" t="s">
        <v>648</v>
      </c>
      <c r="U16" s="1798"/>
      <c r="V16" s="1798"/>
      <c r="W16" s="1798"/>
      <c r="X16" s="1798"/>
      <c r="Y16" s="1798"/>
      <c r="Z16" s="1798"/>
      <c r="AA16" s="1798"/>
      <c r="AB16" s="1798"/>
      <c r="AC16" s="1798"/>
      <c r="AD16" s="1798"/>
      <c r="AE16" s="1798"/>
      <c r="AF16" s="1798"/>
      <c r="AG16" s="1798"/>
      <c r="AH16" s="1798"/>
      <c r="AI16" s="1798"/>
      <c r="AJ16" s="1798"/>
      <c r="AK16" s="1798"/>
      <c r="AL16" s="1798"/>
      <c r="AO16" s="1798"/>
      <c r="AP16" s="179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1" t="s">
        <v>840</v>
      </c>
      <c r="C18" s="1822"/>
      <c r="D18" s="1822"/>
      <c r="E18" s="1822"/>
      <c r="F18" s="1822"/>
      <c r="G18" s="1822"/>
      <c r="H18" s="1822"/>
      <c r="I18" s="1822"/>
      <c r="J18" s="1822"/>
      <c r="K18" s="1822"/>
      <c r="L18" s="1822"/>
      <c r="M18" s="1822"/>
      <c r="N18" s="1822"/>
      <c r="O18" s="1822"/>
      <c r="P18" s="1822"/>
      <c r="Q18" s="1822"/>
      <c r="R18" s="1806">
        <f>'Required Info to Submit'!$F$8</f>
        <v>0</v>
      </c>
      <c r="S18" s="1806"/>
      <c r="T18" s="1806"/>
      <c r="U18" s="1806"/>
      <c r="V18" s="1806"/>
      <c r="W18" s="1806"/>
      <c r="X18" s="1806"/>
      <c r="Y18" s="1806"/>
      <c r="Z18" s="1806"/>
      <c r="AA18" s="1806"/>
      <c r="AB18" s="1806"/>
      <c r="AC18" s="1806"/>
      <c r="AD18" s="1806"/>
      <c r="AE18" s="1806"/>
      <c r="AF18" s="1806"/>
      <c r="AG18" s="1806"/>
      <c r="AH18" s="1806"/>
      <c r="AI18" s="1806"/>
      <c r="AJ18" s="1806"/>
      <c r="AK18" s="1806"/>
      <c r="AL18" s="1806"/>
      <c r="AN18" s="1802" t="s">
        <v>842</v>
      </c>
      <c r="AO18" s="1802"/>
      <c r="AP18" s="1802"/>
      <c r="AQ18" s="1802"/>
      <c r="AR18" s="1802"/>
      <c r="AS18" s="1802"/>
      <c r="AT18" s="1802"/>
      <c r="AU18" s="1802"/>
      <c r="AV18" s="1806">
        <f>'Required Info to Submit'!F10</f>
        <v>0</v>
      </c>
      <c r="AW18" s="1806"/>
      <c r="AX18" s="1806"/>
      <c r="AY18" s="1806"/>
      <c r="AZ18" s="1806"/>
      <c r="BA18" s="1806"/>
      <c r="BB18" s="1806"/>
      <c r="BC18" s="1806"/>
      <c r="BD18" s="1806"/>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9" t="s">
        <v>841</v>
      </c>
      <c r="C20" s="1802"/>
      <c r="D20" s="1802"/>
      <c r="E20" s="1802"/>
      <c r="F20" s="1802"/>
      <c r="G20" s="1802"/>
      <c r="H20" s="1802"/>
      <c r="I20" s="1802"/>
      <c r="J20" s="1802"/>
      <c r="K20" s="1802"/>
      <c r="L20" s="1802"/>
      <c r="M20" s="1802"/>
      <c r="N20" s="1802"/>
      <c r="O20" s="1802"/>
      <c r="P20" s="1802"/>
      <c r="Q20" s="1802"/>
      <c r="R20" s="1806">
        <f>'Required Info to Submit'!F9</f>
        <v>0</v>
      </c>
      <c r="S20" s="1806"/>
      <c r="T20" s="1806"/>
      <c r="U20" s="1806"/>
      <c r="V20" s="1806"/>
      <c r="W20" s="1806"/>
      <c r="X20" s="1806"/>
      <c r="Y20" s="1806"/>
      <c r="Z20" s="1806"/>
      <c r="AA20" s="1806"/>
      <c r="AB20" s="1806"/>
      <c r="AC20" s="1806"/>
      <c r="AD20" s="1806"/>
      <c r="AE20" s="1806"/>
      <c r="AF20" s="1806"/>
      <c r="AG20" s="1806"/>
      <c r="AH20" s="1806"/>
      <c r="AI20" s="1806"/>
      <c r="AJ20" s="1806"/>
      <c r="AK20" s="1806"/>
      <c r="AL20" s="1806"/>
      <c r="AN20" s="1802" t="s">
        <v>801</v>
      </c>
      <c r="AO20" s="1802"/>
      <c r="AP20" s="1802"/>
      <c r="AQ20" s="1802"/>
      <c r="AR20" s="1802"/>
      <c r="AS20" s="1802"/>
      <c r="AT20" s="1802"/>
      <c r="AU20" s="1802"/>
      <c r="AV20" s="1806">
        <f>'Required Info to Submit'!F11</f>
        <v>0</v>
      </c>
      <c r="AW20" s="1806"/>
      <c r="AX20" s="1806"/>
      <c r="AY20" s="1806"/>
      <c r="AZ20" s="1806"/>
      <c r="BA20" s="1806"/>
      <c r="BB20" s="1806"/>
      <c r="BC20" s="1806"/>
      <c r="BD20" s="1806"/>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9" t="s">
        <v>843</v>
      </c>
      <c r="C22" s="1802"/>
      <c r="D22" s="1802"/>
      <c r="E22" s="1802"/>
      <c r="F22" s="1802"/>
      <c r="G22" s="1802"/>
      <c r="H22" s="1802"/>
      <c r="I22" s="1802"/>
      <c r="J22" s="1802"/>
      <c r="K22" s="1802"/>
      <c r="L22" s="1802"/>
      <c r="M22" s="1802"/>
      <c r="N22" s="1802"/>
      <c r="O22" s="1802"/>
      <c r="P22" s="1802"/>
      <c r="Q22" s="1802"/>
      <c r="R22" s="1806">
        <f>'Required Info to Submit'!F12</f>
        <v>0</v>
      </c>
      <c r="S22" s="1806"/>
      <c r="T22" s="1806"/>
      <c r="U22" s="1806"/>
      <c r="V22" s="1806"/>
      <c r="W22" s="1806"/>
      <c r="X22" s="1806"/>
      <c r="Y22" s="1806"/>
      <c r="Z22" s="1806"/>
      <c r="AA22" s="1806"/>
      <c r="AB22" s="1806"/>
      <c r="AC22" s="1806"/>
      <c r="AD22" s="1806"/>
      <c r="AE22" s="1806"/>
      <c r="AF22" s="1806"/>
      <c r="AG22" s="1806"/>
      <c r="AH22" s="1806"/>
      <c r="AI22" s="1806"/>
      <c r="AJ22" s="1806"/>
      <c r="AK22" s="1806"/>
      <c r="AL22" s="1806"/>
      <c r="AN22" s="1802"/>
      <c r="AO22" s="1802"/>
      <c r="AP22" s="1802"/>
      <c r="AQ22" s="1802"/>
      <c r="AR22" s="1802"/>
      <c r="AS22" s="1802"/>
      <c r="AT22" s="1802"/>
      <c r="AU22" s="1802"/>
      <c r="AV22" s="1823"/>
      <c r="AW22" s="1823"/>
      <c r="AX22" s="1823"/>
      <c r="AY22" s="1823"/>
      <c r="AZ22" s="1823"/>
      <c r="BA22" s="1823"/>
      <c r="BB22" s="1823"/>
      <c r="BC22" s="1823"/>
      <c r="BD22" s="1823"/>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09" t="s">
        <v>844</v>
      </c>
      <c r="C24" s="1802"/>
      <c r="D24" s="1802"/>
      <c r="E24" s="1802"/>
      <c r="F24" s="1802"/>
      <c r="G24" s="1802"/>
      <c r="H24" s="1802"/>
      <c r="I24" s="1802"/>
      <c r="J24" s="1802"/>
      <c r="K24" s="1802"/>
      <c r="L24" s="1802"/>
      <c r="M24" s="1802"/>
      <c r="N24" s="1802"/>
      <c r="O24" s="1802"/>
      <c r="P24" s="1802"/>
      <c r="Q24" s="1802"/>
      <c r="R24" s="1818">
        <f>'Required Info to Submit'!$F$14</f>
        <v>0</v>
      </c>
      <c r="S24" s="1818"/>
      <c r="T24" s="1818"/>
      <c r="U24" s="1818"/>
      <c r="V24" s="1818"/>
      <c r="W24" s="1818"/>
      <c r="X24" s="1818"/>
      <c r="Y24" s="1818"/>
      <c r="Z24" s="1818"/>
      <c r="AA24" s="1818"/>
      <c r="AB24" s="1818"/>
      <c r="AC24" s="1818"/>
      <c r="AN24" s="1716" t="s">
        <v>848</v>
      </c>
      <c r="AO24" s="1716"/>
      <c r="AP24" s="1716"/>
      <c r="AQ24" s="1716"/>
      <c r="AR24" s="1716"/>
      <c r="AS24" s="1716"/>
      <c r="AT24" s="1716"/>
      <c r="AU24" s="1716"/>
      <c r="AV24" s="1824" t="str">
        <f>IF('Required Info to Submit'!$F$17&lt;&gt;"",'Required Info to Submit'!$F$17,"")</f>
        <v/>
      </c>
      <c r="AW24" s="1824"/>
      <c r="AX24" s="1824"/>
      <c r="AY24" s="1824"/>
      <c r="AZ24" s="1824"/>
      <c r="BA24" s="1824"/>
      <c r="BB24" s="1824"/>
      <c r="BC24" s="1824"/>
      <c r="BD24" s="1824"/>
      <c r="BF24" s="138"/>
    </row>
    <row r="25" spans="2:68" ht="17.25" x14ac:dyDescent="0.25">
      <c r="B25" s="137"/>
      <c r="C25" s="264"/>
      <c r="D25" s="264"/>
      <c r="E25" s="264"/>
      <c r="F25" s="264"/>
      <c r="G25" s="264"/>
      <c r="H25" s="1817" t="s">
        <v>715</v>
      </c>
      <c r="I25" s="1817"/>
      <c r="J25" s="1817"/>
      <c r="K25" s="1817"/>
      <c r="L25" s="1817"/>
      <c r="M25" s="1817"/>
      <c r="N25" s="1817"/>
      <c r="O25" s="1817"/>
      <c r="P25" s="1817"/>
      <c r="Q25" s="264"/>
      <c r="AN25" s="1817" t="s">
        <v>714</v>
      </c>
      <c r="AO25" s="1817"/>
      <c r="AP25" s="1817"/>
      <c r="AQ25" s="1817"/>
      <c r="AR25" s="1817"/>
      <c r="AS25" s="1817"/>
      <c r="AT25" s="1817"/>
      <c r="BF25" s="138"/>
    </row>
    <row r="26" spans="2:68" ht="18.75" x14ac:dyDescent="0.3">
      <c r="B26" s="1814" t="s">
        <v>652</v>
      </c>
      <c r="C26" s="1815"/>
      <c r="D26" s="1815"/>
      <c r="E26" s="1815"/>
      <c r="F26" s="1815"/>
      <c r="G26" s="1815"/>
      <c r="H26" s="1815"/>
      <c r="I26" s="1815"/>
      <c r="J26" s="1815"/>
      <c r="K26" s="1815"/>
      <c r="L26" s="1815"/>
      <c r="M26" s="1815"/>
      <c r="N26" s="1815"/>
      <c r="O26" s="1815"/>
      <c r="P26" s="1815"/>
      <c r="Q26" s="1815"/>
      <c r="R26" s="1815"/>
      <c r="S26" s="1815"/>
      <c r="T26" s="1815"/>
      <c r="U26" s="1815"/>
      <c r="V26" s="1815"/>
      <c r="W26" s="1815"/>
      <c r="X26" s="1815"/>
      <c r="Y26" s="1815"/>
      <c r="Z26" s="1815"/>
      <c r="AA26" s="1815"/>
      <c r="AB26" s="1815"/>
      <c r="AC26" s="1815"/>
      <c r="AD26" s="1815"/>
      <c r="AE26" s="1815"/>
      <c r="AF26" s="1815"/>
      <c r="AG26" s="1815"/>
      <c r="AH26" s="1815"/>
      <c r="AI26" s="1815"/>
      <c r="AJ26" s="1815"/>
      <c r="AK26" s="1815"/>
      <c r="AL26" s="1815"/>
      <c r="AM26" s="1815"/>
      <c r="AN26" s="1815"/>
      <c r="AO26" s="1815"/>
      <c r="AP26" s="1815"/>
      <c r="AQ26" s="1815"/>
      <c r="AR26" s="1815"/>
      <c r="AS26" s="1815"/>
      <c r="AT26" s="1815"/>
      <c r="AU26" s="1815"/>
      <c r="AV26" s="1815"/>
      <c r="AW26" s="1815"/>
      <c r="AX26" s="1815"/>
      <c r="AY26" s="1815"/>
      <c r="AZ26" s="1815"/>
      <c r="BA26" s="1815"/>
      <c r="BB26" s="1815"/>
      <c r="BC26" s="1815"/>
      <c r="BD26" s="1815"/>
      <c r="BE26" s="1815"/>
      <c r="BF26" s="181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07" t="s">
        <v>653</v>
      </c>
      <c r="C28" s="1808"/>
      <c r="D28" s="1808"/>
      <c r="E28" s="1808"/>
      <c r="F28" s="1808"/>
      <c r="G28" s="1808"/>
      <c r="H28" s="1808"/>
      <c r="I28" s="1808"/>
      <c r="J28" s="1808"/>
      <c r="K28" s="1808"/>
      <c r="L28" s="1808"/>
      <c r="M28" s="1808"/>
      <c r="N28" s="1808"/>
      <c r="O28" s="1808"/>
      <c r="P28" s="1808"/>
      <c r="Q28" s="1808"/>
      <c r="T28" s="1811">
        <f>'Tracking &amp; Profitability'!$E$6</f>
        <v>0</v>
      </c>
      <c r="U28" s="1811"/>
      <c r="V28" s="1811"/>
      <c r="W28" s="1811"/>
      <c r="X28" s="1811"/>
      <c r="Y28" s="1811"/>
      <c r="Z28" s="1811"/>
      <c r="AA28" s="1811"/>
      <c r="AB28" s="1811"/>
      <c r="AF28" t="s">
        <v>713</v>
      </c>
      <c r="AO28" s="1781">
        <f>Welcome!$D$30</f>
        <v>0</v>
      </c>
      <c r="AP28" s="1781"/>
      <c r="AQ28" s="1781"/>
      <c r="AR28" s="1798" t="s">
        <v>654</v>
      </c>
      <c r="AS28" s="1798"/>
      <c r="AU28" s="1781">
        <f>Welcome!$E$30</f>
        <v>0</v>
      </c>
      <c r="AV28" s="1781"/>
      <c r="AW28" s="1781"/>
      <c r="AX28" s="1798" t="s">
        <v>712</v>
      </c>
      <c r="AY28" s="1798"/>
      <c r="BA28" s="1781">
        <f>Welcome!$F$30</f>
        <v>0</v>
      </c>
      <c r="BB28" s="1781"/>
      <c r="BC28" s="1781"/>
      <c r="BD28" s="1798" t="s">
        <v>655</v>
      </c>
      <c r="BE28" s="1798"/>
      <c r="BF28" s="138"/>
    </row>
    <row r="29" spans="2:68" ht="17.25" x14ac:dyDescent="0.25">
      <c r="B29" s="137"/>
      <c r="T29" s="134"/>
      <c r="U29" s="134"/>
      <c r="V29" s="134"/>
      <c r="W29" s="134"/>
      <c r="X29" s="134"/>
      <c r="Y29" s="134"/>
      <c r="Z29" s="134"/>
      <c r="AA29" s="134"/>
      <c r="AB29" s="134"/>
      <c r="AF29" s="1817" t="s">
        <v>711</v>
      </c>
      <c r="AG29" s="1817"/>
      <c r="AH29" s="1817"/>
      <c r="AI29" s="1817"/>
      <c r="AJ29" s="1817"/>
      <c r="AK29" s="1817"/>
      <c r="AL29" s="1817"/>
      <c r="AM29" s="1817"/>
      <c r="AN29" s="1817"/>
      <c r="AO29" s="1817"/>
      <c r="AP29" s="1817"/>
      <c r="AQ29" s="1817"/>
      <c r="AR29" s="1817"/>
      <c r="AS29" s="1817"/>
      <c r="AT29" s="1817"/>
      <c r="AU29" s="1817"/>
      <c r="AV29" s="1817"/>
      <c r="AW29" s="1817"/>
      <c r="AX29" s="1817"/>
      <c r="AY29" s="1817"/>
      <c r="AZ29" s="1817"/>
      <c r="BA29" s="1817"/>
      <c r="BB29" s="1817"/>
      <c r="BC29" s="1817"/>
      <c r="BD29" s="1817"/>
      <c r="BE29" s="1817"/>
      <c r="BF29" s="138"/>
    </row>
    <row r="30" spans="2:68" x14ac:dyDescent="0.25">
      <c r="B30" s="1810" t="s">
        <v>708</v>
      </c>
      <c r="C30" s="1716"/>
      <c r="D30" s="1716"/>
      <c r="E30" s="1716"/>
      <c r="F30" s="1716"/>
      <c r="G30" s="1716"/>
      <c r="H30" s="1716"/>
      <c r="I30" s="1716"/>
      <c r="J30" s="1716"/>
      <c r="K30" s="1716"/>
      <c r="L30" s="1716"/>
      <c r="M30" s="1716"/>
      <c r="N30" s="1716"/>
      <c r="O30" s="1716"/>
      <c r="P30" s="1716"/>
      <c r="Q30" s="1716"/>
      <c r="T30" s="1813">
        <v>1</v>
      </c>
      <c r="U30" s="1813"/>
      <c r="V30" s="1813"/>
      <c r="W30" s="1813"/>
      <c r="AF30" s="1777" t="s">
        <v>710</v>
      </c>
      <c r="AG30" s="1777"/>
      <c r="AH30" s="1777"/>
      <c r="AI30" s="1777"/>
      <c r="AJ30" s="1777"/>
      <c r="AK30" s="1777"/>
      <c r="AL30" s="1777"/>
      <c r="AM30" s="1777"/>
      <c r="AN30" s="1777"/>
      <c r="AO30" s="1777"/>
      <c r="AP30" s="1781">
        <f>Welcome!$D$24</f>
        <v>0</v>
      </c>
      <c r="AQ30" s="1781"/>
      <c r="AR30" s="1781"/>
      <c r="AT30" s="1777" t="s">
        <v>709</v>
      </c>
      <c r="AU30" s="1777"/>
      <c r="AV30" s="1777"/>
      <c r="AW30" s="1777"/>
      <c r="AX30" s="1777"/>
      <c r="AY30" s="1777"/>
      <c r="AZ30" s="1777"/>
      <c r="BA30" s="1777"/>
      <c r="BB30" s="1777"/>
      <c r="BC30" s="1777"/>
      <c r="BF30" s="138"/>
    </row>
    <row r="31" spans="2:68" x14ac:dyDescent="0.25">
      <c r="B31" s="137"/>
      <c r="BF31" s="138"/>
      <c r="BP31" s="263"/>
    </row>
    <row r="32" spans="2:68" x14ac:dyDescent="0.25">
      <c r="B32" s="1810" t="s">
        <v>705</v>
      </c>
      <c r="C32" s="1716"/>
      <c r="D32" s="1716"/>
      <c r="E32" s="1716"/>
      <c r="F32" s="1716"/>
      <c r="G32" s="1716"/>
      <c r="H32" s="1716"/>
      <c r="I32" s="1716"/>
      <c r="J32" s="1716"/>
      <c r="K32" s="1716"/>
      <c r="L32" s="1716"/>
      <c r="M32" s="1716"/>
      <c r="N32" s="1716"/>
      <c r="O32" s="1716"/>
      <c r="P32" s="1716"/>
      <c r="Q32" s="1716"/>
      <c r="T32" s="1819" t="s">
        <v>976</v>
      </c>
      <c r="U32" s="1819"/>
      <c r="V32" s="1819"/>
      <c r="W32" s="1819"/>
      <c r="X32" s="1819"/>
      <c r="Y32" s="1819"/>
      <c r="Z32" s="1819"/>
      <c r="AA32" s="1819"/>
      <c r="AB32" s="1819"/>
      <c r="AC32" s="1819"/>
      <c r="AD32" s="1819"/>
      <c r="AE32" s="1819"/>
      <c r="AF32" s="1819"/>
      <c r="AG32" s="1819"/>
      <c r="AH32" s="1819"/>
      <c r="AI32" s="1819"/>
      <c r="AJ32" s="1819"/>
      <c r="AK32" s="1819"/>
      <c r="AL32" s="1819"/>
      <c r="AM32" s="1819"/>
      <c r="AN32" s="1819"/>
      <c r="AO32" s="1819"/>
      <c r="BF32" s="138"/>
    </row>
    <row r="33" spans="2:92" x14ac:dyDescent="0.25">
      <c r="B33" s="137"/>
      <c r="BF33" s="138"/>
    </row>
    <row r="34" spans="2:92" x14ac:dyDescent="0.25">
      <c r="B34" s="137"/>
      <c r="C34" s="82"/>
      <c r="D34" s="82"/>
      <c r="E34" s="82"/>
      <c r="F34" s="82"/>
      <c r="G34" s="82"/>
      <c r="H34" s="82"/>
      <c r="I34" s="1781"/>
      <c r="J34" s="1781"/>
      <c r="K34" s="1798" t="s">
        <v>484</v>
      </c>
      <c r="L34" s="1798"/>
      <c r="M34" s="1798"/>
      <c r="N34" s="1798"/>
      <c r="O34" s="1798"/>
      <c r="P34" s="1798"/>
      <c r="Q34" s="1798"/>
      <c r="R34" s="1781" t="s">
        <v>240</v>
      </c>
      <c r="S34" s="1781"/>
      <c r="T34" s="1798" t="s">
        <v>483</v>
      </c>
      <c r="U34" s="1798"/>
      <c r="V34" s="1798"/>
      <c r="W34" s="1798"/>
      <c r="X34" s="1781"/>
      <c r="Y34" s="1781"/>
      <c r="Z34" s="1798" t="s">
        <v>482</v>
      </c>
      <c r="AA34" s="1798"/>
      <c r="AB34" s="1798"/>
      <c r="AF34" t="s">
        <v>707</v>
      </c>
      <c r="AL34" s="1781">
        <f>Welcome!$H$30</f>
        <v>5</v>
      </c>
      <c r="AM34" s="1781"/>
      <c r="AN34" s="1781"/>
      <c r="AO34" t="s">
        <v>706</v>
      </c>
      <c r="BF34" s="138"/>
    </row>
    <row r="35" spans="2:92" x14ac:dyDescent="0.25">
      <c r="B35" s="137"/>
      <c r="BF35" s="138"/>
      <c r="BP35" s="265"/>
      <c r="CN35" s="263"/>
    </row>
    <row r="36" spans="2:92" x14ac:dyDescent="0.25">
      <c r="B36" s="1807" t="s">
        <v>704</v>
      </c>
      <c r="C36" s="1808"/>
      <c r="D36" s="1808"/>
      <c r="E36" s="1808"/>
      <c r="F36" s="1808"/>
      <c r="G36" s="1808"/>
      <c r="H36" s="1808"/>
      <c r="I36" s="1808"/>
      <c r="J36" s="1808"/>
      <c r="K36" s="1808"/>
      <c r="L36" s="1808"/>
      <c r="M36" s="1808"/>
      <c r="N36" s="1808"/>
      <c r="O36" s="1808"/>
      <c r="P36" s="1808"/>
      <c r="Q36" s="1808"/>
      <c r="R36" s="1808"/>
      <c r="T36" s="1789" t="str">
        <f>IFERROR($T$28/('Tracking &amp; Profitability'!$E$7*52*Welcome!$D$18),"Error on A La Carte")</f>
        <v>Error on A La Carte</v>
      </c>
      <c r="U36" s="1789"/>
      <c r="V36" s="1789"/>
      <c r="W36" s="1789"/>
      <c r="X36" s="1789"/>
      <c r="Y36" s="1789"/>
      <c r="Z36" s="1789"/>
      <c r="AA36" s="1789"/>
      <c r="AB36" s="1789"/>
      <c r="AF36" s="1808" t="s">
        <v>479</v>
      </c>
      <c r="AG36" s="1808"/>
      <c r="AH36" s="1808"/>
      <c r="AI36" s="1808"/>
      <c r="AJ36" s="1808"/>
      <c r="AK36" s="1808"/>
      <c r="AL36" s="1808"/>
      <c r="AM36" s="1808"/>
      <c r="AN36" s="1808"/>
      <c r="AO36" s="1808"/>
      <c r="AP36" s="1808"/>
      <c r="AQ36" s="1808"/>
      <c r="AR36" s="1808"/>
      <c r="AS36" s="1808"/>
      <c r="AU36" s="1781" t="e">
        <f>ROUND(((1-(('PIM Model'!$G$15+'PIM Model'!$G$17+'PIM Model'!$G$18)/'PIM Model'!$G$31))*100),0)&amp;"%/"&amp;ROUND((('PIM Model'!$G$15+'PIM Model'!$G$17+'PIM Model'!$G$18)/'PIM Model'!$G$31*100),0)&amp;"%"</f>
        <v>#DIV/0!</v>
      </c>
      <c r="AV36" s="1781"/>
      <c r="AW36" s="1781"/>
      <c r="AX36" s="1781"/>
      <c r="AY36" s="1781"/>
      <c r="AZ36" s="178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07" t="s">
        <v>702</v>
      </c>
      <c r="C38" s="1808"/>
      <c r="D38" s="1808"/>
      <c r="E38" s="1808"/>
      <c r="F38" s="1808"/>
      <c r="G38" s="1808"/>
      <c r="H38" s="1808"/>
      <c r="I38" s="1808"/>
      <c r="J38" s="1808"/>
      <c r="K38" s="1808"/>
      <c r="L38" s="1808"/>
      <c r="M38" s="1808"/>
      <c r="N38" s="1808"/>
      <c r="O38" s="1808"/>
      <c r="P38" s="1808"/>
      <c r="Q38" s="1808"/>
      <c r="R38" s="1808"/>
      <c r="T38" s="1790" t="str">
        <f>IFERROR('PIM Model'!$H$31/('PIM Model'!$E$6*52*Welcome!$D$18),"Error on A La Carte")</f>
        <v>Error on A La Carte</v>
      </c>
      <c r="U38" s="1790"/>
      <c r="V38" s="1790"/>
      <c r="W38" s="1790"/>
      <c r="X38" s="1790"/>
      <c r="Y38" s="1790"/>
      <c r="Z38" s="1790"/>
      <c r="AA38" s="1790"/>
      <c r="AB38" s="1790"/>
      <c r="AC38" s="266"/>
      <c r="AD38" s="266"/>
      <c r="AF38" s="1716" t="s">
        <v>656</v>
      </c>
      <c r="AG38" s="1716"/>
      <c r="AH38" s="1716"/>
      <c r="AI38" s="1716"/>
      <c r="AJ38" s="1716"/>
      <c r="AK38" s="1716"/>
      <c r="AL38" s="1716"/>
      <c r="AM38" s="1716"/>
      <c r="AN38" s="1716"/>
      <c r="AO38" s="1716"/>
      <c r="AP38" s="1716"/>
      <c r="AQ38" s="1716"/>
      <c r="AR38" s="1716"/>
      <c r="AS38" s="1716"/>
      <c r="AU38" s="1781">
        <f>COUNTIF('PIM Model'!$E$10:$E$30,"Include")</f>
        <v>21</v>
      </c>
      <c r="AV38" s="1781"/>
      <c r="AW38" s="1781"/>
      <c r="AX38" s="1781"/>
      <c r="AY38" s="1781"/>
      <c r="AZ38" s="1781"/>
      <c r="BF38" s="138"/>
    </row>
    <row r="39" spans="2:92" x14ac:dyDescent="0.25">
      <c r="B39" s="137"/>
      <c r="BF39" s="138"/>
    </row>
    <row r="40" spans="2:92" x14ac:dyDescent="0.25">
      <c r="B40" s="1807" t="s">
        <v>700</v>
      </c>
      <c r="C40" s="1808"/>
      <c r="D40" s="1808"/>
      <c r="E40" s="1808"/>
      <c r="F40" s="1808"/>
      <c r="G40" s="1808"/>
      <c r="H40" s="1808"/>
      <c r="I40" s="1808"/>
      <c r="J40" s="1808"/>
      <c r="K40" s="1808"/>
      <c r="L40" s="1808"/>
      <c r="M40" s="1808"/>
      <c r="N40" s="1808"/>
      <c r="O40" s="1808"/>
      <c r="P40" s="1808"/>
      <c r="Q40" s="1808"/>
      <c r="R40" s="1808"/>
      <c r="T40" s="1811">
        <f>IFERROR('PIM Model'!$G$31/'PIM Model'!$H$31,0)</f>
        <v>0</v>
      </c>
      <c r="U40" s="1811"/>
      <c r="V40" s="1811"/>
      <c r="W40" s="1811"/>
      <c r="X40" s="1811"/>
      <c r="Y40" s="1811"/>
      <c r="Z40" s="1811"/>
      <c r="AA40" s="1811"/>
      <c r="AB40" s="1811"/>
      <c r="AF40" s="1716" t="s">
        <v>703</v>
      </c>
      <c r="AG40" s="1716"/>
      <c r="AH40" s="1716"/>
      <c r="AI40" s="1716"/>
      <c r="AJ40" s="1716"/>
      <c r="AK40" s="1716"/>
      <c r="AL40" s="1716"/>
      <c r="AM40" s="1716"/>
      <c r="AN40" s="1716"/>
      <c r="AO40" s="1716"/>
      <c r="AP40" s="1716"/>
      <c r="AQ40" s="1716"/>
      <c r="AR40" s="1716"/>
      <c r="AS40" s="1716"/>
      <c r="AU40" s="1781">
        <f>Welcome!$G$30</f>
        <v>0</v>
      </c>
      <c r="AV40" s="1781"/>
      <c r="AW40" s="1781"/>
      <c r="BC40" s="1798"/>
      <c r="BD40" s="1798"/>
      <c r="BE40" s="1798"/>
      <c r="BF40" s="138"/>
    </row>
    <row r="41" spans="2:92" x14ac:dyDescent="0.25">
      <c r="B41" s="137"/>
      <c r="BF41" s="138"/>
      <c r="BP41" s="263"/>
      <c r="CN41" s="265"/>
    </row>
    <row r="42" spans="2:92" x14ac:dyDescent="0.25">
      <c r="B42" s="1810" t="s">
        <v>698</v>
      </c>
      <c r="C42" s="1716"/>
      <c r="D42" s="1716"/>
      <c r="E42" s="1716"/>
      <c r="F42" s="1716"/>
      <c r="G42" s="1716"/>
      <c r="H42" s="1716"/>
      <c r="I42" s="1716"/>
      <c r="J42" s="1716"/>
      <c r="K42" s="1716"/>
      <c r="L42" s="1716"/>
      <c r="M42" s="1716"/>
      <c r="N42" s="1716"/>
      <c r="O42" s="1716"/>
      <c r="P42" s="1716"/>
      <c r="Q42" s="1716"/>
      <c r="R42" s="1716"/>
      <c r="T42" s="1811" t="s">
        <v>733</v>
      </c>
      <c r="U42" s="1811"/>
      <c r="V42" s="1811"/>
      <c r="W42" s="1811"/>
      <c r="X42" s="1811"/>
      <c r="Y42" s="1811"/>
      <c r="Z42" s="1811"/>
      <c r="AA42" s="1811"/>
      <c r="AB42" s="1811"/>
      <c r="AF42" s="1716" t="s">
        <v>701</v>
      </c>
      <c r="AG42" s="1716"/>
      <c r="AH42" s="1716"/>
      <c r="AI42" s="1716"/>
      <c r="AJ42" s="1716"/>
      <c r="AK42" s="1716"/>
      <c r="AL42" s="1716"/>
      <c r="AM42" s="1716"/>
      <c r="AN42" s="1716"/>
      <c r="AO42" s="1716"/>
      <c r="AP42" s="1716"/>
      <c r="AQ42" s="1716"/>
      <c r="AR42" s="1716"/>
      <c r="AS42" s="1716"/>
      <c r="AU42" s="1781" t="s">
        <v>649</v>
      </c>
      <c r="AV42" s="1781"/>
      <c r="AW42" s="1781"/>
      <c r="BC42" s="1798"/>
      <c r="BD42" s="1798"/>
      <c r="BE42" s="1798"/>
      <c r="BF42" s="138"/>
    </row>
    <row r="43" spans="2:92" x14ac:dyDescent="0.25">
      <c r="B43" s="137"/>
      <c r="BF43" s="138"/>
      <c r="BP43" s="263"/>
      <c r="CN43" s="265"/>
    </row>
    <row r="44" spans="2:92" x14ac:dyDescent="0.25">
      <c r="B44" s="1807" t="s">
        <v>696</v>
      </c>
      <c r="C44" s="1808"/>
      <c r="D44" s="1808"/>
      <c r="E44" s="1808"/>
      <c r="F44" s="1808"/>
      <c r="G44" s="1808"/>
      <c r="H44" s="1808"/>
      <c r="I44" s="1808"/>
      <c r="J44" s="1808"/>
      <c r="K44" s="1808"/>
      <c r="L44" s="1808"/>
      <c r="M44" s="1808"/>
      <c r="N44" s="1808"/>
      <c r="O44" s="1808"/>
      <c r="P44" s="1808"/>
      <c r="Q44" s="1808"/>
      <c r="R44" s="1808"/>
      <c r="T44" s="1812">
        <f>'Tracking &amp; Profitability'!$E$7</f>
        <v>0</v>
      </c>
      <c r="U44" s="1812"/>
      <c r="V44" s="1812"/>
      <c r="W44" s="1812"/>
      <c r="X44" s="1812"/>
      <c r="Y44" s="1812"/>
      <c r="Z44" s="1812"/>
      <c r="AA44" s="1812"/>
      <c r="AB44" s="1812"/>
      <c r="AF44" s="1716" t="s">
        <v>699</v>
      </c>
      <c r="AG44" s="1716"/>
      <c r="AH44" s="1716"/>
      <c r="AI44" s="1716"/>
      <c r="AJ44" s="1716"/>
      <c r="AK44" s="1716"/>
      <c r="AL44" s="1716"/>
      <c r="AM44" s="1716"/>
      <c r="AN44" s="1716"/>
      <c r="AO44" s="1716"/>
      <c r="AP44" s="1716"/>
      <c r="AQ44" s="1716"/>
      <c r="AR44" s="1716"/>
      <c r="AS44" s="1716"/>
      <c r="AU44" s="1781" t="s">
        <v>649</v>
      </c>
      <c r="AV44" s="1781"/>
      <c r="AW44" s="1781"/>
      <c r="BC44" s="1798"/>
      <c r="BD44" s="1798"/>
      <c r="BE44" s="1798"/>
      <c r="BF44" s="138"/>
    </row>
    <row r="45" spans="2:92" x14ac:dyDescent="0.25">
      <c r="B45" s="137"/>
      <c r="BF45" s="138"/>
      <c r="CN45" s="265"/>
    </row>
    <row r="46" spans="2:92" x14ac:dyDescent="0.25">
      <c r="B46" s="1804" t="s">
        <v>657</v>
      </c>
      <c r="C46" s="1805"/>
      <c r="D46" s="1805"/>
      <c r="E46" s="1805"/>
      <c r="F46" s="1805"/>
      <c r="G46" s="1805"/>
      <c r="H46" s="1805"/>
      <c r="I46" s="1805"/>
      <c r="J46" s="1805"/>
      <c r="K46" s="1805"/>
      <c r="L46" s="1805"/>
      <c r="M46" s="1805"/>
      <c r="N46" s="1805"/>
      <c r="O46" s="1805"/>
      <c r="P46" s="1805"/>
      <c r="Q46" s="1805"/>
      <c r="R46" s="1805"/>
      <c r="T46" s="1806">
        <v>150</v>
      </c>
      <c r="U46" s="1806"/>
      <c r="V46" s="1806"/>
      <c r="W46" s="1806"/>
      <c r="X46" s="1806"/>
      <c r="Y46" s="1806"/>
      <c r="Z46" s="1806"/>
      <c r="AA46" s="1806"/>
      <c r="AB46" s="1806"/>
      <c r="AF46" s="1787" t="s">
        <v>697</v>
      </c>
      <c r="AG46" s="1787"/>
      <c r="AH46" s="1787"/>
      <c r="AI46" s="1787"/>
      <c r="AJ46" s="1787"/>
      <c r="AK46" s="1787"/>
      <c r="AL46" s="1787"/>
      <c r="AM46" s="1787"/>
      <c r="AN46" s="1787"/>
      <c r="AO46" s="1787"/>
      <c r="AP46" s="1787"/>
      <c r="AQ46" s="1787"/>
      <c r="AR46" s="1787"/>
      <c r="AS46" s="1787"/>
      <c r="AU46" s="1794">
        <f>'Agreement Worksheet'!$C$13/100</f>
        <v>0.3</v>
      </c>
      <c r="AV46" s="1794"/>
      <c r="AW46" s="1794"/>
      <c r="AX46" s="1794"/>
      <c r="AY46" s="1794"/>
      <c r="AZ46" s="1794"/>
      <c r="BF46" s="138"/>
    </row>
    <row r="47" spans="2:92" x14ac:dyDescent="0.25">
      <c r="B47" s="137"/>
      <c r="BF47" s="138"/>
      <c r="CN47" s="265"/>
    </row>
    <row r="48" spans="2:92" x14ac:dyDescent="0.25">
      <c r="B48" s="1807" t="s">
        <v>480</v>
      </c>
      <c r="C48" s="1808"/>
      <c r="D48" s="1808"/>
      <c r="E48" s="1808"/>
      <c r="F48" s="1808"/>
      <c r="G48" s="1808"/>
      <c r="H48" s="1808"/>
      <c r="I48" s="1808"/>
      <c r="J48" s="1808"/>
      <c r="K48" s="1808"/>
      <c r="L48" s="1808"/>
      <c r="M48" s="1808"/>
      <c r="N48" s="1808"/>
      <c r="O48" s="1808"/>
      <c r="P48" s="1808"/>
      <c r="Q48" s="1808"/>
      <c r="R48" s="1808"/>
      <c r="T48" s="1806">
        <f>$K$10</f>
        <v>0</v>
      </c>
      <c r="U48" s="1806"/>
      <c r="V48" s="1806"/>
      <c r="W48" s="1806"/>
      <c r="X48" s="1806"/>
      <c r="Y48" s="1806"/>
      <c r="Z48" s="1806"/>
      <c r="AA48" s="1806"/>
      <c r="AB48" s="1806"/>
      <c r="AF48" s="1787" t="s">
        <v>695</v>
      </c>
      <c r="AG48" s="1787"/>
      <c r="AH48" s="1787"/>
      <c r="AI48" s="1787"/>
      <c r="AJ48" s="1787"/>
      <c r="AK48" s="1787"/>
      <c r="AL48" s="1787"/>
      <c r="AM48" s="1787"/>
      <c r="AN48" s="1787"/>
      <c r="AO48" s="1787"/>
      <c r="AP48" s="1787"/>
      <c r="AQ48" s="1787"/>
      <c r="AR48" s="1787"/>
      <c r="AS48" s="1787"/>
      <c r="AU48" s="1779">
        <f>'Agreement Worksheet'!$F$13</f>
        <v>2.25</v>
      </c>
      <c r="AV48" s="1780"/>
      <c r="AW48" s="1780"/>
      <c r="AX48" s="1780"/>
      <c r="AY48" s="1780"/>
      <c r="AZ48" s="1780"/>
      <c r="BF48" s="138"/>
    </row>
    <row r="49" spans="2:92" x14ac:dyDescent="0.25">
      <c r="B49" s="137"/>
      <c r="BF49" s="138"/>
      <c r="CN49" s="265"/>
    </row>
    <row r="50" spans="2:92" x14ac:dyDescent="0.25">
      <c r="B50" s="1786" t="s">
        <v>694</v>
      </c>
      <c r="C50" s="1787"/>
      <c r="D50" s="1787"/>
      <c r="E50" s="1787"/>
      <c r="F50" s="1787"/>
      <c r="G50" s="1787"/>
      <c r="H50" s="1787"/>
      <c r="I50" s="1787"/>
      <c r="J50" s="1787"/>
      <c r="K50" s="1787"/>
      <c r="L50" s="1787"/>
      <c r="M50" s="1787"/>
      <c r="N50" s="1787"/>
      <c r="O50" s="1787"/>
      <c r="P50" s="1787"/>
      <c r="Q50" s="1787"/>
      <c r="R50" s="1787"/>
      <c r="T50" s="1788">
        <f>'Agreement Worksheet'!$E$10</f>
        <v>500</v>
      </c>
      <c r="U50" s="1788"/>
      <c r="V50" s="1788"/>
      <c r="W50" s="1788"/>
      <c r="X50" s="1788"/>
      <c r="Y50" s="1788"/>
      <c r="Z50" s="1716" t="s">
        <v>693</v>
      </c>
      <c r="AA50" s="1716"/>
      <c r="AB50" s="1716"/>
      <c r="AC50" s="1788">
        <f>'Agreement Worksheet'!$F$10</f>
        <v>35</v>
      </c>
      <c r="AD50" s="1788"/>
      <c r="AE50" s="1788"/>
      <c r="AF50" s="1788"/>
      <c r="AG50" s="178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91" t="s">
        <v>677</v>
      </c>
      <c r="C53" s="1792"/>
      <c r="D53" s="1792"/>
      <c r="E53" s="1792"/>
      <c r="F53" s="1792"/>
      <c r="G53" s="1792"/>
      <c r="H53" s="1792"/>
      <c r="I53" s="1792"/>
      <c r="J53" s="1792"/>
      <c r="K53" s="1792"/>
      <c r="L53" s="1792"/>
      <c r="M53" s="1792"/>
      <c r="N53" s="1792"/>
      <c r="O53" s="1792"/>
      <c r="P53" s="1792"/>
      <c r="Q53" s="1792"/>
      <c r="R53" s="1792"/>
      <c r="S53" s="1792"/>
      <c r="T53" s="1792"/>
      <c r="U53" s="1792"/>
      <c r="V53" s="1792"/>
      <c r="W53" s="1792"/>
      <c r="X53" s="1792"/>
      <c r="Y53" s="1792"/>
      <c r="Z53" s="1792"/>
      <c r="AA53" s="1792"/>
      <c r="AB53" s="1792"/>
      <c r="AC53" s="1792"/>
      <c r="AD53" s="1792"/>
      <c r="AE53" s="1792"/>
      <c r="AF53" s="1792"/>
      <c r="AG53" s="1792"/>
      <c r="AH53" s="1792"/>
      <c r="AI53" s="1792"/>
      <c r="AJ53" s="1792"/>
      <c r="AK53" s="1792"/>
      <c r="AL53" s="1792"/>
      <c r="AM53" s="1792"/>
      <c r="AN53" s="1792"/>
      <c r="AO53" s="1792"/>
      <c r="AP53" s="1792"/>
      <c r="AQ53" s="1792"/>
      <c r="AR53" s="1792"/>
      <c r="AS53" s="1792"/>
      <c r="AT53" s="1792"/>
      <c r="AU53" s="1792"/>
      <c r="AV53" s="1792"/>
      <c r="AW53" s="1792"/>
      <c r="AX53" s="1792"/>
      <c r="AY53" s="1792"/>
      <c r="AZ53" s="1792"/>
      <c r="BA53" s="1792"/>
      <c r="BB53" s="1792"/>
      <c r="BC53" s="1792"/>
      <c r="BD53" s="1792"/>
      <c r="BE53" s="1792"/>
      <c r="BF53" s="1793"/>
    </row>
    <row r="54" spans="2:92" x14ac:dyDescent="0.25">
      <c r="B54" s="1795" t="s">
        <v>692</v>
      </c>
      <c r="C54" s="1796"/>
      <c r="D54" s="1796"/>
      <c r="E54" s="1796"/>
      <c r="F54" s="1796"/>
      <c r="G54" s="1796"/>
      <c r="H54" s="1796"/>
      <c r="I54" s="1796"/>
      <c r="J54" s="1796"/>
      <c r="K54" s="1796"/>
      <c r="L54" s="1796"/>
      <c r="M54" s="1796"/>
      <c r="N54" s="1796"/>
      <c r="O54" s="1796"/>
      <c r="P54" s="1796"/>
      <c r="Q54" s="1796"/>
      <c r="R54" s="1796"/>
      <c r="S54" s="1796"/>
      <c r="T54" s="1796"/>
      <c r="U54" s="1796"/>
      <c r="V54" s="1796"/>
      <c r="W54" s="1796"/>
      <c r="X54" s="1796"/>
      <c r="Y54" s="1796"/>
      <c r="Z54" s="1796"/>
      <c r="AA54" s="1796"/>
      <c r="AB54" s="1796"/>
      <c r="AC54" s="1796"/>
      <c r="AD54" s="1796"/>
      <c r="AE54" s="1796"/>
      <c r="AF54" s="1796"/>
      <c r="AG54" s="1796"/>
      <c r="AH54" s="1796"/>
      <c r="AI54" s="1796"/>
      <c r="AJ54" s="1796"/>
      <c r="AK54" s="1796"/>
      <c r="AL54" s="1796"/>
      <c r="AM54" s="1796"/>
      <c r="AN54" s="1796"/>
      <c r="AO54" s="1796"/>
      <c r="AP54" s="1796"/>
      <c r="AQ54" s="1796"/>
      <c r="AR54" s="1796"/>
      <c r="AS54" s="1796"/>
      <c r="AT54" s="1796"/>
      <c r="AU54" s="1796"/>
      <c r="AV54" s="1796"/>
      <c r="AW54" s="1796"/>
      <c r="AX54" s="1796"/>
      <c r="AY54" s="1796"/>
      <c r="AZ54" s="1796"/>
      <c r="BA54" s="1796"/>
      <c r="BB54" s="1796"/>
      <c r="BC54" s="1796"/>
      <c r="BD54" s="1796"/>
      <c r="BE54" s="1796"/>
      <c r="BF54" s="1797"/>
      <c r="BP54" s="263"/>
    </row>
    <row r="55" spans="2:92" x14ac:dyDescent="0.25">
      <c r="B55" s="137"/>
      <c r="AC55" s="268"/>
      <c r="AD55" s="268"/>
      <c r="AE55" s="268"/>
      <c r="AF55" s="268"/>
      <c r="AG55" s="268"/>
      <c r="AH55" s="268"/>
      <c r="AK55" s="1802"/>
      <c r="AL55" s="1802"/>
      <c r="AM55" s="1802"/>
      <c r="AN55" s="1802"/>
      <c r="AO55" s="1666"/>
      <c r="AP55" s="1666"/>
      <c r="AQ55" s="1666"/>
      <c r="AR55" s="134"/>
      <c r="AS55" s="134"/>
      <c r="AT55" s="1666"/>
      <c r="AU55" s="1666"/>
      <c r="AV55" s="1666"/>
      <c r="AW55" s="134"/>
      <c r="AX55" s="134"/>
      <c r="AY55" s="1666"/>
      <c r="AZ55" s="1666"/>
      <c r="BA55" s="1666"/>
      <c r="BB55" s="134"/>
      <c r="BC55" s="134"/>
      <c r="BD55" s="1666"/>
      <c r="BE55" s="1666"/>
      <c r="BF55" s="1778"/>
      <c r="BP55" s="269"/>
    </row>
    <row r="56" spans="2:92" x14ac:dyDescent="0.25">
      <c r="B56" s="137"/>
      <c r="C56" s="1777" t="s">
        <v>103</v>
      </c>
      <c r="D56" s="1777"/>
      <c r="E56" s="1777"/>
      <c r="F56" s="1777"/>
      <c r="G56" s="1777"/>
      <c r="H56" s="1777"/>
      <c r="I56" s="1777"/>
      <c r="J56" s="1777"/>
      <c r="K56" s="1777"/>
      <c r="L56" s="1777"/>
      <c r="M56" s="1777"/>
      <c r="N56" s="1777"/>
      <c r="O56" s="1777"/>
      <c r="P56" s="1777"/>
      <c r="Q56" s="1777"/>
      <c r="R56" s="1777"/>
      <c r="S56" s="1777"/>
      <c r="T56" s="1777"/>
      <c r="U56" s="1777"/>
      <c r="V56" s="1777"/>
      <c r="W56" s="1777"/>
      <c r="X56" s="1777"/>
      <c r="Y56" s="1777"/>
      <c r="Z56" s="1777"/>
      <c r="AC56" s="1781" t="str">
        <f>'PIM Model'!$AD$11</f>
        <v/>
      </c>
      <c r="AD56" s="1781"/>
      <c r="AE56" s="1781" t="str">
        <f>'PIM Model'!$D$11</f>
        <v>%</v>
      </c>
      <c r="AF56" s="1781"/>
      <c r="AG56" s="1781" t="str">
        <f>'PIM Model'!$D$11</f>
        <v>%</v>
      </c>
      <c r="AH56" s="1781"/>
      <c r="AI56" s="1798" t="str">
        <f>'PIM Model'!$D$11</f>
        <v>%</v>
      </c>
      <c r="AJ56" s="1798"/>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778"/>
      <c r="BP56" s="263"/>
    </row>
    <row r="57" spans="2:92" x14ac:dyDescent="0.25">
      <c r="B57" s="137"/>
      <c r="C57" s="1777" t="s">
        <v>102</v>
      </c>
      <c r="D57" s="1777"/>
      <c r="E57" s="1777"/>
      <c r="F57" s="1777"/>
      <c r="G57" s="1777"/>
      <c r="H57" s="1777"/>
      <c r="I57" s="1777"/>
      <c r="J57" s="1777"/>
      <c r="K57" s="1777"/>
      <c r="L57" s="1777"/>
      <c r="M57" s="1777"/>
      <c r="N57" s="1777"/>
      <c r="O57" s="1777"/>
      <c r="P57" s="1777"/>
      <c r="Q57" s="1777"/>
      <c r="R57" s="1777"/>
      <c r="S57" s="1777"/>
      <c r="T57" s="1777"/>
      <c r="U57" s="1777"/>
      <c r="V57" s="1777"/>
      <c r="W57" s="1777"/>
      <c r="X57" s="1777"/>
      <c r="Y57" s="1777"/>
      <c r="Z57" s="1777"/>
      <c r="AC57" s="1801" t="str">
        <f>'PIM Model'!$AD$13</f>
        <v/>
      </c>
      <c r="AD57" s="1801"/>
      <c r="AE57" s="1801" t="str">
        <f>'PIM Model'!$D$13</f>
        <v>%</v>
      </c>
      <c r="AF57" s="1801"/>
      <c r="AG57" s="1801" t="str">
        <f>'PIM Model'!$D$13</f>
        <v>%</v>
      </c>
      <c r="AH57" s="1801"/>
      <c r="AI57" s="1798" t="str">
        <f>'PIM Model'!$D$13</f>
        <v>%</v>
      </c>
      <c r="AJ57" s="179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77" t="s">
        <v>101</v>
      </c>
      <c r="D58" s="1777"/>
      <c r="E58" s="1777"/>
      <c r="F58" s="1777"/>
      <c r="G58" s="1777"/>
      <c r="H58" s="1777"/>
      <c r="I58" s="1777"/>
      <c r="J58" s="1777"/>
      <c r="K58" s="1777"/>
      <c r="L58" s="1777"/>
      <c r="M58" s="1777"/>
      <c r="N58" s="1777"/>
      <c r="O58" s="1777"/>
      <c r="P58" s="1777"/>
      <c r="Q58" s="1777"/>
      <c r="R58" s="1777"/>
      <c r="S58" s="1777"/>
      <c r="T58" s="1777"/>
      <c r="U58" s="1777"/>
      <c r="V58" s="1777"/>
      <c r="W58" s="1777"/>
      <c r="X58" s="1777"/>
      <c r="Y58" s="1777"/>
      <c r="Z58" s="1777"/>
      <c r="AC58" s="1801" t="str">
        <f>'PIM Model'!$AD$19</f>
        <v/>
      </c>
      <c r="AD58" s="1801"/>
      <c r="AE58" s="1801" t="str">
        <f>'PIM Model'!$D$19</f>
        <v>%</v>
      </c>
      <c r="AF58" s="1801"/>
      <c r="AG58" s="1801" t="str">
        <f>'PIM Model'!$D$19</f>
        <v>%</v>
      </c>
      <c r="AH58" s="1801"/>
      <c r="AI58" s="1798" t="str">
        <f>'PIM Model'!$D$19</f>
        <v>%</v>
      </c>
      <c r="AJ58" s="179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77" t="s">
        <v>100</v>
      </c>
      <c r="D59" s="1777"/>
      <c r="E59" s="1777"/>
      <c r="F59" s="1777"/>
      <c r="G59" s="1777"/>
      <c r="H59" s="1777"/>
      <c r="I59" s="1777"/>
      <c r="J59" s="1777"/>
      <c r="K59" s="1777"/>
      <c r="L59" s="1777"/>
      <c r="M59" s="1777"/>
      <c r="N59" s="1777"/>
      <c r="O59" s="1777"/>
      <c r="P59" s="1777"/>
      <c r="Q59" s="1777"/>
      <c r="R59" s="1777"/>
      <c r="S59" s="1777"/>
      <c r="T59" s="1777"/>
      <c r="U59" s="1777"/>
      <c r="V59" s="1777"/>
      <c r="W59" s="1777"/>
      <c r="X59" s="1777"/>
      <c r="Y59" s="1777"/>
      <c r="Z59" s="1777"/>
      <c r="AC59" s="1801" t="str">
        <f>'PIM Model'!$AD$14</f>
        <v/>
      </c>
      <c r="AD59" s="1801"/>
      <c r="AE59" s="1801" t="str">
        <f>'PIM Model'!$D$14</f>
        <v>%</v>
      </c>
      <c r="AF59" s="1801"/>
      <c r="AG59" s="1801" t="str">
        <f>'PIM Model'!$D$14</f>
        <v>%</v>
      </c>
      <c r="AH59" s="1801"/>
      <c r="AI59" s="1798" t="str">
        <f>'PIM Model'!$D$14</f>
        <v>%</v>
      </c>
      <c r="AJ59" s="179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77" t="s">
        <v>104</v>
      </c>
      <c r="D60" s="1777"/>
      <c r="E60" s="1777"/>
      <c r="F60" s="1777"/>
      <c r="G60" s="1777"/>
      <c r="H60" s="1777"/>
      <c r="I60" s="1777"/>
      <c r="J60" s="1777"/>
      <c r="K60" s="1777"/>
      <c r="L60" s="1777"/>
      <c r="M60" s="1777"/>
      <c r="N60" s="1777"/>
      <c r="O60" s="1777"/>
      <c r="P60" s="1777"/>
      <c r="Q60" s="1777"/>
      <c r="R60" s="1777"/>
      <c r="S60" s="1777"/>
      <c r="T60" s="1777"/>
      <c r="U60" s="1777"/>
      <c r="V60" s="1777"/>
      <c r="W60" s="1777"/>
      <c r="X60" s="1777"/>
      <c r="Y60" s="1777"/>
      <c r="Z60" s="1777"/>
      <c r="AC60" s="1801" t="str">
        <f>'PIM Model'!$AD$15</f>
        <v/>
      </c>
      <c r="AD60" s="1801"/>
      <c r="AE60" s="1801" t="str">
        <f>'PIM Model'!$D$15</f>
        <v>%</v>
      </c>
      <c r="AF60" s="1801"/>
      <c r="AG60" s="1801" t="str">
        <f>'PIM Model'!$D$15</f>
        <v>%</v>
      </c>
      <c r="AH60" s="1801"/>
      <c r="AI60" s="1798" t="str">
        <f>'PIM Model'!$D$15</f>
        <v>%</v>
      </c>
      <c r="AJ60" s="179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77" t="s">
        <v>99</v>
      </c>
      <c r="D61" s="1777"/>
      <c r="E61" s="1777"/>
      <c r="F61" s="1777"/>
      <c r="G61" s="1777"/>
      <c r="H61" s="1777"/>
      <c r="I61" s="1777"/>
      <c r="J61" s="1777"/>
      <c r="K61" s="1777"/>
      <c r="L61" s="1777"/>
      <c r="M61" s="1777"/>
      <c r="N61" s="1777"/>
      <c r="O61" s="1777"/>
      <c r="P61" s="1777"/>
      <c r="Q61" s="1777"/>
      <c r="R61" s="1777"/>
      <c r="S61" s="1777"/>
      <c r="T61" s="1777"/>
      <c r="U61" s="1777"/>
      <c r="V61" s="1777"/>
      <c r="W61" s="1777"/>
      <c r="X61" s="1777"/>
      <c r="Y61" s="1777"/>
      <c r="Z61" s="1777"/>
      <c r="AC61" s="1801" t="str">
        <f>'PIM Model'!$AD$10</f>
        <v/>
      </c>
      <c r="AD61" s="1801"/>
      <c r="AE61" s="1801" t="str">
        <f>'PIM Model'!$D$10</f>
        <v>%</v>
      </c>
      <c r="AF61" s="1801"/>
      <c r="AG61" s="1801" t="str">
        <f>'PIM Model'!$D$10</f>
        <v>%</v>
      </c>
      <c r="AH61" s="1801"/>
      <c r="AI61" s="1798" t="str">
        <f>'PIM Model'!$D$10</f>
        <v>%</v>
      </c>
      <c r="AJ61" s="179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88" t="s">
        <v>98</v>
      </c>
      <c r="D62" s="1588"/>
      <c r="E62" s="1588"/>
      <c r="F62" s="1588"/>
      <c r="G62" s="1588"/>
      <c r="H62" s="1588"/>
      <c r="I62" s="1588"/>
      <c r="J62" s="1588"/>
      <c r="K62" s="1588"/>
      <c r="L62" s="1588"/>
      <c r="M62" s="1588"/>
      <c r="N62" s="1588"/>
      <c r="O62" s="1588"/>
      <c r="P62" s="1588"/>
      <c r="Q62" s="1588"/>
      <c r="R62" s="1588"/>
      <c r="S62" s="1588"/>
      <c r="T62" s="1588"/>
      <c r="U62" s="1588"/>
      <c r="V62" s="1588"/>
      <c r="W62" s="1588"/>
      <c r="X62" s="1588"/>
      <c r="Y62" s="1588"/>
      <c r="Z62" s="1588"/>
      <c r="AC62" s="1801" t="str">
        <f>'PIM Model'!$AD$16</f>
        <v/>
      </c>
      <c r="AD62" s="1801"/>
      <c r="AE62" s="1801" t="str">
        <f>'PIM Model'!$D$16</f>
        <v>%</v>
      </c>
      <c r="AF62" s="1801"/>
      <c r="AG62" s="1801" t="str">
        <f>'PIM Model'!$D$16</f>
        <v>%</v>
      </c>
      <c r="AH62" s="1801"/>
      <c r="AI62" s="1798" t="str">
        <f>'PIM Model'!$D$16</f>
        <v>%</v>
      </c>
      <c r="AJ62" s="179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88" t="s">
        <v>97</v>
      </c>
      <c r="D63" s="1588"/>
      <c r="E63" s="1588"/>
      <c r="F63" s="1588"/>
      <c r="G63" s="1588"/>
      <c r="H63" s="1588"/>
      <c r="I63" s="1588"/>
      <c r="J63" s="1588"/>
      <c r="K63" s="1588"/>
      <c r="L63" s="1588"/>
      <c r="M63" s="1588"/>
      <c r="N63" s="1588"/>
      <c r="O63" s="1588"/>
      <c r="P63" s="1588"/>
      <c r="Q63" s="1588"/>
      <c r="R63" s="1588"/>
      <c r="S63" s="1588"/>
      <c r="T63" s="1588"/>
      <c r="U63" s="1588"/>
      <c r="V63" s="1588"/>
      <c r="W63" s="1588"/>
      <c r="X63" s="1588"/>
      <c r="Y63" s="1588"/>
      <c r="Z63" s="1588"/>
      <c r="AC63" s="1801" t="str">
        <f>'PIM Model'!$AD$20</f>
        <v/>
      </c>
      <c r="AD63" s="1801"/>
      <c r="AE63" s="1801" t="str">
        <f>'PIM Model'!$D$20</f>
        <v>%</v>
      </c>
      <c r="AF63" s="1801"/>
      <c r="AG63" s="1801" t="str">
        <f>'PIM Model'!$D$20</f>
        <v>%</v>
      </c>
      <c r="AH63" s="1801"/>
      <c r="AI63" s="1798" t="str">
        <f>'PIM Model'!$D$20</f>
        <v>%</v>
      </c>
      <c r="AJ63" s="179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88" t="s">
        <v>96</v>
      </c>
      <c r="D64" s="1588"/>
      <c r="E64" s="1588"/>
      <c r="F64" s="1588"/>
      <c r="G64" s="1588"/>
      <c r="H64" s="1588"/>
      <c r="I64" s="1588"/>
      <c r="J64" s="1588"/>
      <c r="K64" s="1588"/>
      <c r="L64" s="1588"/>
      <c r="M64" s="1588"/>
      <c r="N64" s="1588"/>
      <c r="O64" s="1588"/>
      <c r="P64" s="1588"/>
      <c r="Q64" s="1588"/>
      <c r="R64" s="1588"/>
      <c r="S64" s="1588"/>
      <c r="T64" s="1588"/>
      <c r="U64" s="1588"/>
      <c r="V64" s="1588"/>
      <c r="W64" s="1588"/>
      <c r="X64" s="1588"/>
      <c r="Y64" s="1588"/>
      <c r="Z64" s="1588"/>
      <c r="AC64" s="1801" t="str">
        <f>'PIM Model'!$AD$18</f>
        <v/>
      </c>
      <c r="AD64" s="1801"/>
      <c r="AE64" s="1801" t="str">
        <f>'PIM Model'!$D$18</f>
        <v>%</v>
      </c>
      <c r="AF64" s="1801"/>
      <c r="AG64" s="1801" t="str">
        <f>'PIM Model'!$D$18</f>
        <v>%</v>
      </c>
      <c r="AH64" s="1801"/>
      <c r="AI64" s="1798" t="str">
        <f>'PIM Model'!$D$18</f>
        <v>%</v>
      </c>
      <c r="AJ64" s="179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88" t="s">
        <v>95</v>
      </c>
      <c r="D65" s="1588"/>
      <c r="E65" s="1588"/>
      <c r="F65" s="1588"/>
      <c r="G65" s="1588"/>
      <c r="H65" s="1588"/>
      <c r="I65" s="1588"/>
      <c r="J65" s="1588"/>
      <c r="K65" s="1588"/>
      <c r="L65" s="1588"/>
      <c r="M65" s="1588"/>
      <c r="N65" s="1588"/>
      <c r="O65" s="1588"/>
      <c r="P65" s="1588"/>
      <c r="Q65" s="1588"/>
      <c r="R65" s="1588"/>
      <c r="S65" s="1588"/>
      <c r="T65" s="1588"/>
      <c r="U65" s="1588"/>
      <c r="V65" s="1588"/>
      <c r="W65" s="1588"/>
      <c r="X65" s="1588"/>
      <c r="Y65" s="1588"/>
      <c r="Z65" s="1588"/>
      <c r="AC65" s="1801" t="str">
        <f>'PIM Model'!$AD$17</f>
        <v/>
      </c>
      <c r="AD65" s="1801"/>
      <c r="AE65" s="1801" t="str">
        <f>'PIM Model'!$D$17</f>
        <v>%</v>
      </c>
      <c r="AF65" s="1801"/>
      <c r="AG65" s="1801" t="str">
        <f>'PIM Model'!$D$17</f>
        <v>%</v>
      </c>
      <c r="AH65" s="1801"/>
      <c r="AI65" s="1798" t="str">
        <f>'PIM Model'!$D$17</f>
        <v>%</v>
      </c>
      <c r="AJ65" s="179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88" t="s">
        <v>94</v>
      </c>
      <c r="D66" s="1588"/>
      <c r="E66" s="1588"/>
      <c r="F66" s="1588"/>
      <c r="G66" s="1588"/>
      <c r="H66" s="1588"/>
      <c r="I66" s="1588"/>
      <c r="J66" s="1588"/>
      <c r="K66" s="1588"/>
      <c r="L66" s="1588"/>
      <c r="M66" s="1588"/>
      <c r="N66" s="1588"/>
      <c r="O66" s="1588"/>
      <c r="P66" s="1588"/>
      <c r="Q66" s="1588"/>
      <c r="R66" s="1588"/>
      <c r="S66" s="1588"/>
      <c r="T66" s="1588"/>
      <c r="U66" s="1588"/>
      <c r="V66" s="1588"/>
      <c r="W66" s="1588"/>
      <c r="X66" s="1588"/>
      <c r="Y66" s="1588"/>
      <c r="Z66" s="1588"/>
      <c r="AC66" s="1801" t="str">
        <f>'PIM Model'!$AD$27</f>
        <v/>
      </c>
      <c r="AD66" s="1801"/>
      <c r="AE66" s="1801" t="str">
        <f>'PIM Model'!$D$27</f>
        <v>%</v>
      </c>
      <c r="AF66" s="1801"/>
      <c r="AG66" s="1801" t="str">
        <f>'PIM Model'!$D$27</f>
        <v>%</v>
      </c>
      <c r="AH66" s="1801"/>
      <c r="AI66" s="1798" t="str">
        <f>'PIM Model'!$D$27</f>
        <v>%</v>
      </c>
      <c r="AJ66" s="179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98" t="s">
        <v>691</v>
      </c>
      <c r="F67" s="1798"/>
      <c r="G67" s="1798"/>
      <c r="H67" s="1798"/>
      <c r="I67" s="1798"/>
      <c r="J67" s="1798"/>
      <c r="K67" s="1798"/>
      <c r="M67" s="1799" t="str">
        <f>'Pricing Schedule'!$E$21</f>
        <v>T</v>
      </c>
      <c r="N67" s="1799"/>
      <c r="O67" s="1799"/>
      <c r="P67" t="s">
        <v>649</v>
      </c>
      <c r="S67" s="1800"/>
      <c r="T67" s="1800"/>
      <c r="U67" s="1800"/>
      <c r="V67" s="1798" t="s">
        <v>651</v>
      </c>
      <c r="W67" s="179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88" t="s">
        <v>93</v>
      </c>
      <c r="D68" s="1588"/>
      <c r="E68" s="1588"/>
      <c r="F68" s="1588"/>
      <c r="G68" s="1588"/>
      <c r="H68" s="1588"/>
      <c r="I68" s="1588"/>
      <c r="J68" s="1588"/>
      <c r="K68" s="1588"/>
      <c r="L68" s="1588"/>
      <c r="M68" s="1588"/>
      <c r="N68" s="1588"/>
      <c r="O68" s="1588"/>
      <c r="P68" s="1588"/>
      <c r="Q68" s="1588"/>
      <c r="R68" s="1588"/>
      <c r="S68" s="1588"/>
      <c r="T68" s="1588"/>
      <c r="U68" s="1588"/>
      <c r="V68" s="1588"/>
      <c r="W68" s="1588"/>
      <c r="X68" s="1588"/>
      <c r="Y68" s="1588"/>
      <c r="Z68" s="1588"/>
      <c r="AC68" s="1801" t="str">
        <f>'PIM Model'!$AD$21</f>
        <v/>
      </c>
      <c r="AD68" s="1801"/>
      <c r="AE68" s="1801" t="str">
        <f>'PIM Model'!$D$21</f>
        <v>%</v>
      </c>
      <c r="AF68" s="1801"/>
      <c r="AG68" s="1801" t="str">
        <f>'PIM Model'!$D$21</f>
        <v>%</v>
      </c>
      <c r="AH68" s="1801"/>
      <c r="AI68" s="1798" t="str">
        <f>'PIM Model'!$D$21</f>
        <v>%</v>
      </c>
      <c r="AJ68" s="179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88" t="s">
        <v>92</v>
      </c>
      <c r="D69" s="1588"/>
      <c r="E69" s="1588"/>
      <c r="F69" s="1588"/>
      <c r="G69" s="1588"/>
      <c r="H69" s="1588"/>
      <c r="I69" s="1588"/>
      <c r="J69" s="1588"/>
      <c r="K69" s="1588"/>
      <c r="L69" s="1588"/>
      <c r="M69" s="1588"/>
      <c r="N69" s="1588"/>
      <c r="O69" s="1588"/>
      <c r="P69" s="1588"/>
      <c r="Q69" s="1588"/>
      <c r="R69" s="1588"/>
      <c r="S69" s="1588"/>
      <c r="T69" s="1588"/>
      <c r="U69" s="1588"/>
      <c r="V69" s="1588"/>
      <c r="W69" s="1588"/>
      <c r="X69" s="1588"/>
      <c r="Y69" s="1588"/>
      <c r="Z69" s="1588"/>
      <c r="AC69" s="1801" t="str">
        <f>'PIM Model'!$AD$23</f>
        <v/>
      </c>
      <c r="AD69" s="1801"/>
      <c r="AE69" s="1801" t="str">
        <f>'PIM Model'!$D$23</f>
        <v>%</v>
      </c>
      <c r="AF69" s="1801"/>
      <c r="AG69" s="1801" t="str">
        <f>'PIM Model'!$D$23</f>
        <v>%</v>
      </c>
      <c r="AH69" s="1801"/>
      <c r="AI69" s="1798" t="str">
        <f>'PIM Model'!$D$23</f>
        <v>%</v>
      </c>
      <c r="AJ69" s="179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88" t="s">
        <v>91</v>
      </c>
      <c r="D70" s="1588"/>
      <c r="E70" s="1588"/>
      <c r="F70" s="1588"/>
      <c r="G70" s="1588"/>
      <c r="H70" s="1588"/>
      <c r="I70" s="1588"/>
      <c r="J70" s="1588"/>
      <c r="K70" s="1588"/>
      <c r="L70" s="1588"/>
      <c r="M70" s="1588"/>
      <c r="N70" s="1588"/>
      <c r="O70" s="1588"/>
      <c r="P70" s="1588"/>
      <c r="Q70" s="1588"/>
      <c r="R70" s="1588"/>
      <c r="S70" s="1588"/>
      <c r="T70" s="1588"/>
      <c r="U70" s="1588"/>
      <c r="V70" s="1588"/>
      <c r="W70" s="1588"/>
      <c r="X70" s="1588"/>
      <c r="Y70" s="1588"/>
      <c r="Z70" s="1588"/>
      <c r="AC70" s="1801" t="str">
        <f>'PIM Model'!$AD$24</f>
        <v/>
      </c>
      <c r="AD70" s="1801"/>
      <c r="AE70" s="1801" t="str">
        <f>'PIM Model'!$D$24</f>
        <v>%</v>
      </c>
      <c r="AF70" s="1801"/>
      <c r="AG70" s="1801" t="str">
        <f>'PIM Model'!$D$24</f>
        <v>%</v>
      </c>
      <c r="AH70" s="1801"/>
      <c r="AI70" s="1798" t="str">
        <f>'PIM Model'!$D$24</f>
        <v>%</v>
      </c>
      <c r="AJ70" s="1798"/>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778"/>
    </row>
    <row r="71" spans="2:70" x14ac:dyDescent="0.25">
      <c r="B71" s="137"/>
      <c r="C71" s="1588" t="s">
        <v>90</v>
      </c>
      <c r="D71" s="1588"/>
      <c r="E71" s="1588"/>
      <c r="F71" s="1588"/>
      <c r="G71" s="1588"/>
      <c r="H71" s="1588"/>
      <c r="I71" s="1588"/>
      <c r="J71" s="1588"/>
      <c r="K71" s="1588"/>
      <c r="L71" s="1588"/>
      <c r="M71" s="1588"/>
      <c r="N71" s="1588"/>
      <c r="O71" s="1588"/>
      <c r="P71" s="1588"/>
      <c r="Q71" s="1588"/>
      <c r="R71" s="1588"/>
      <c r="S71" s="1588"/>
      <c r="T71" s="1588"/>
      <c r="U71" s="1588"/>
      <c r="V71" s="1588"/>
      <c r="W71" s="1588"/>
      <c r="X71" s="1588"/>
      <c r="Y71" s="1588"/>
      <c r="Z71" s="1588"/>
      <c r="AC71" s="1801" t="str">
        <f>'PIM Model'!$AD$25</f>
        <v/>
      </c>
      <c r="AD71" s="1801"/>
      <c r="AE71" s="1801" t="str">
        <f>'PIM Model'!$D$25</f>
        <v>%</v>
      </c>
      <c r="AF71" s="1801"/>
      <c r="AG71" s="1801" t="str">
        <f>'PIM Model'!$D$25</f>
        <v>%</v>
      </c>
      <c r="AH71" s="1801"/>
      <c r="AI71" s="1798" t="str">
        <f>'PIM Model'!$D$25</f>
        <v>%</v>
      </c>
      <c r="AJ71" s="1798"/>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778"/>
    </row>
    <row r="72" spans="2:70" x14ac:dyDescent="0.25">
      <c r="B72" s="137"/>
      <c r="C72" s="1588" t="s">
        <v>89</v>
      </c>
      <c r="D72" s="1588"/>
      <c r="E72" s="1588"/>
      <c r="F72" s="1588"/>
      <c r="G72" s="1588"/>
      <c r="H72" s="1588"/>
      <c r="I72" s="1588"/>
      <c r="J72" s="1588"/>
      <c r="K72" s="1588"/>
      <c r="L72" s="1588"/>
      <c r="M72" s="1588"/>
      <c r="N72" s="1588"/>
      <c r="O72" s="1588"/>
      <c r="P72" s="1588"/>
      <c r="Q72" s="1588"/>
      <c r="R72" s="1588"/>
      <c r="S72" s="1588"/>
      <c r="T72" s="1588"/>
      <c r="U72" s="1588"/>
      <c r="V72" s="1588"/>
      <c r="W72" s="1588"/>
      <c r="X72" s="1588"/>
      <c r="Y72" s="1588"/>
      <c r="Z72" s="1588"/>
      <c r="AC72" s="1801" t="str">
        <f>'PIM Model'!$AD$26</f>
        <v/>
      </c>
      <c r="AD72" s="1801"/>
      <c r="AE72" s="1801" t="str">
        <f>'PIM Model'!$D$26</f>
        <v>%</v>
      </c>
      <c r="AF72" s="1801"/>
      <c r="AG72" s="1801" t="str">
        <f>'PIM Model'!$D$26</f>
        <v>%</v>
      </c>
      <c r="AH72" s="1801"/>
      <c r="AI72" s="1798" t="str">
        <f>'PIM Model'!$D$26</f>
        <v>%</v>
      </c>
      <c r="AJ72" s="1798"/>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778"/>
    </row>
    <row r="73" spans="2:70" x14ac:dyDescent="0.25">
      <c r="B73" s="137"/>
      <c r="C73" s="1588" t="s">
        <v>88</v>
      </c>
      <c r="D73" s="1588"/>
      <c r="E73" s="1588"/>
      <c r="F73" s="1588"/>
      <c r="G73" s="1588"/>
      <c r="H73" s="1588"/>
      <c r="I73" s="1588"/>
      <c r="J73" s="1588"/>
      <c r="K73" s="1588"/>
      <c r="L73" s="1588"/>
      <c r="M73" s="1588"/>
      <c r="N73" s="1588"/>
      <c r="O73" s="1588"/>
      <c r="P73" s="1588"/>
      <c r="Q73" s="1588"/>
      <c r="R73" s="1588"/>
      <c r="S73" s="1588"/>
      <c r="T73" s="1588"/>
      <c r="U73" s="1588"/>
      <c r="V73" s="1588"/>
      <c r="W73" s="1588"/>
      <c r="X73" s="1588"/>
      <c r="Y73" s="1588"/>
      <c r="Z73" s="1588"/>
      <c r="AC73" s="1801" t="str">
        <f>'PIM Model'!$AD$29</f>
        <v/>
      </c>
      <c r="AD73" s="1801"/>
      <c r="AE73" s="1801" t="str">
        <f>'PIM Model'!$D$29</f>
        <v>%</v>
      </c>
      <c r="AF73" s="1801"/>
      <c r="AG73" s="1801" t="str">
        <f>'PIM Model'!$D$29</f>
        <v>%</v>
      </c>
      <c r="AH73" s="1801"/>
      <c r="AI73" s="1798" t="str">
        <f>'PIM Model'!$D$29</f>
        <v>%</v>
      </c>
      <c r="AJ73" s="1798"/>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778"/>
    </row>
    <row r="74" spans="2:70" x14ac:dyDescent="0.25">
      <c r="B74" s="137"/>
      <c r="C74" s="1588" t="s">
        <v>87</v>
      </c>
      <c r="D74" s="1588"/>
      <c r="E74" s="1588"/>
      <c r="F74" s="1588"/>
      <c r="G74" s="1588"/>
      <c r="H74" s="1588"/>
      <c r="I74" s="1588"/>
      <c r="J74" s="1588"/>
      <c r="K74" s="1588"/>
      <c r="L74" s="1588"/>
      <c r="M74" s="1588"/>
      <c r="N74" s="1588"/>
      <c r="O74" s="1588"/>
      <c r="P74" s="1588"/>
      <c r="Q74" s="1588"/>
      <c r="R74" s="1588"/>
      <c r="S74" s="1588"/>
      <c r="T74" s="1588"/>
      <c r="U74" s="1588"/>
      <c r="V74" s="1588"/>
      <c r="W74" s="1588"/>
      <c r="X74" s="1588"/>
      <c r="Y74" s="1588"/>
      <c r="Z74" s="1588"/>
      <c r="AC74" s="1801" t="str">
        <f>'PIM Model'!$AD$30</f>
        <v/>
      </c>
      <c r="AD74" s="1801"/>
      <c r="AE74" s="1801" t="str">
        <f>'PIM Model'!$D$30</f>
        <v>%</v>
      </c>
      <c r="AF74" s="1801"/>
      <c r="AG74" s="1801" t="str">
        <f>'PIM Model'!$D$30</f>
        <v>%</v>
      </c>
      <c r="AH74" s="1801"/>
      <c r="AI74" s="1798" t="str">
        <f>'PIM Model'!$D$30</f>
        <v>%</v>
      </c>
      <c r="AJ74" s="1798"/>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778"/>
    </row>
    <row r="75" spans="2:70" x14ac:dyDescent="0.25">
      <c r="B75" s="137"/>
      <c r="C75" s="1588" t="s">
        <v>86</v>
      </c>
      <c r="D75" s="1588"/>
      <c r="E75" s="1588"/>
      <c r="F75" s="1588"/>
      <c r="G75" s="1588"/>
      <c r="H75" s="1588"/>
      <c r="I75" s="1588"/>
      <c r="J75" s="1588"/>
      <c r="K75" s="1588"/>
      <c r="L75" s="1588"/>
      <c r="M75" s="1588"/>
      <c r="N75" s="1588"/>
      <c r="O75" s="1588"/>
      <c r="P75" s="1588"/>
      <c r="Q75" s="1588"/>
      <c r="R75" s="1588"/>
      <c r="S75" s="1588"/>
      <c r="T75" s="1588"/>
      <c r="U75" s="1588"/>
      <c r="V75" s="1588"/>
      <c r="W75" s="1588"/>
      <c r="X75" s="1588"/>
      <c r="Y75" s="1588"/>
      <c r="Z75" s="1588"/>
      <c r="AC75" s="1801" t="str">
        <f>'PIM Model'!$AD$28</f>
        <v/>
      </c>
      <c r="AD75" s="1801"/>
      <c r="AE75" s="1801" t="str">
        <f>'PIM Model'!$D$28</f>
        <v>%</v>
      </c>
      <c r="AF75" s="1801"/>
      <c r="AG75" s="1801" t="str">
        <f>'PIM Model'!$D$28</f>
        <v>%</v>
      </c>
      <c r="AH75" s="1801"/>
      <c r="AI75" s="1798" t="str">
        <f>'PIM Model'!$D$28</f>
        <v>%</v>
      </c>
      <c r="AJ75" s="1798"/>
      <c r="BF75" s="138"/>
    </row>
    <row r="76" spans="2:70" x14ac:dyDescent="0.25">
      <c r="B76" s="137"/>
      <c r="C76" s="1588" t="s">
        <v>105</v>
      </c>
      <c r="D76" s="1588"/>
      <c r="E76" s="1588"/>
      <c r="F76" s="1588"/>
      <c r="G76" s="1588"/>
      <c r="H76" s="1588"/>
      <c r="I76" s="1588"/>
      <c r="J76" s="1588"/>
      <c r="K76" s="1588"/>
      <c r="L76" s="1588"/>
      <c r="M76" s="1588"/>
      <c r="N76" s="1588"/>
      <c r="O76" s="1588"/>
      <c r="P76" s="1588"/>
      <c r="Q76" s="1588"/>
      <c r="R76" s="1588"/>
      <c r="S76" s="1588"/>
      <c r="T76" s="1588"/>
      <c r="U76" s="1588"/>
      <c r="V76" s="1588"/>
      <c r="W76" s="1588"/>
      <c r="X76" s="1588"/>
      <c r="Y76" s="1588"/>
      <c r="Z76" s="1588"/>
      <c r="AC76" s="1801" t="str">
        <f>'PIM Model'!$AD$22</f>
        <v/>
      </c>
      <c r="AD76" s="1801"/>
      <c r="AE76" s="1801" t="str">
        <f>'PIM Model'!$D$22</f>
        <v>%</v>
      </c>
      <c r="AF76" s="1801"/>
      <c r="AG76" s="1801" t="str">
        <f>'PIM Model'!$D$22</f>
        <v>%</v>
      </c>
      <c r="AH76" s="1801"/>
      <c r="AI76" s="1798" t="str">
        <f>'PIM Model'!$D$22</f>
        <v>%</v>
      </c>
      <c r="AJ76" s="1798"/>
      <c r="BF76" s="138"/>
    </row>
    <row r="77" spans="2:70" x14ac:dyDescent="0.25">
      <c r="B77" s="598"/>
      <c r="C77" s="1803" t="s">
        <v>722</v>
      </c>
      <c r="D77" s="1803"/>
      <c r="E77" s="1803"/>
      <c r="F77" s="1803"/>
      <c r="G77" s="1803"/>
      <c r="H77" s="1803"/>
      <c r="I77" s="1803"/>
      <c r="J77" s="1803"/>
      <c r="K77" s="1803"/>
      <c r="L77" s="1803"/>
      <c r="M77" s="1803"/>
      <c r="N77" s="1803"/>
      <c r="O77" s="1803"/>
      <c r="P77" s="1803"/>
      <c r="Q77" s="1803"/>
      <c r="R77" s="1803"/>
      <c r="S77" s="1803"/>
      <c r="T77" s="1803"/>
      <c r="U77" s="1803"/>
      <c r="V77" s="1803"/>
      <c r="W77" s="1803"/>
      <c r="X77" s="1803"/>
      <c r="Y77" s="1803"/>
      <c r="Z77" s="1803"/>
      <c r="AC77" s="1801" t="str">
        <f>'PIM Model'!$AD$12</f>
        <v/>
      </c>
      <c r="AD77" s="1801"/>
      <c r="AE77" s="1801" t="str">
        <f>'PIM Model'!$D$12</f>
        <v>%</v>
      </c>
      <c r="AF77" s="1801"/>
      <c r="AG77" s="1801" t="str">
        <f>'PIM Model'!$D$12</f>
        <v>%</v>
      </c>
      <c r="AH77" s="1801"/>
      <c r="AI77" s="1798" t="str">
        <f>'PIM Model'!$D$12</f>
        <v>%</v>
      </c>
      <c r="AJ77" s="1798"/>
      <c r="BF77" s="138"/>
    </row>
    <row r="78" spans="2:70" x14ac:dyDescent="0.25">
      <c r="B78" s="137"/>
      <c r="C78" s="1803" t="s">
        <v>723</v>
      </c>
      <c r="D78" s="1803"/>
      <c r="E78" s="1803"/>
      <c r="F78" s="1803"/>
      <c r="G78" s="1803"/>
      <c r="H78" s="1803"/>
      <c r="I78" s="1803"/>
      <c r="J78" s="1803"/>
      <c r="K78" s="1803"/>
      <c r="L78" s="1803"/>
      <c r="M78" s="1803"/>
      <c r="N78" s="1803"/>
      <c r="O78" s="1803"/>
      <c r="P78" s="1803"/>
      <c r="Q78" s="1803"/>
      <c r="R78" s="1803"/>
      <c r="S78" s="1803"/>
      <c r="T78" s="1803"/>
      <c r="U78" s="1803"/>
      <c r="V78" s="1803"/>
      <c r="W78" s="1803"/>
      <c r="X78" s="1803"/>
      <c r="Y78" s="1803"/>
      <c r="Z78" s="180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98" t="s">
        <v>690</v>
      </c>
      <c r="E81" s="1798"/>
      <c r="F81" s="1798"/>
      <c r="G81" s="1798"/>
      <c r="H81" s="1798"/>
      <c r="I81" s="1798"/>
      <c r="J81" s="1798"/>
      <c r="K81" s="1798"/>
      <c r="L81" s="1798"/>
      <c r="M81" s="1798"/>
      <c r="N81" s="1798"/>
      <c r="O81" s="1798"/>
      <c r="P81" s="1798"/>
      <c r="Q81" s="1798"/>
      <c r="R81" s="1798"/>
      <c r="S81" s="1798"/>
      <c r="T81" s="1798"/>
      <c r="U81" s="1798"/>
      <c r="V81" s="1798"/>
      <c r="W81" s="1798"/>
      <c r="X81" s="1798"/>
      <c r="Y81" s="1798"/>
      <c r="Z81" s="1798"/>
      <c r="AA81" s="1798"/>
      <c r="AB81" s="1798"/>
      <c r="AC81" s="1798"/>
      <c r="AD81" s="1798"/>
      <c r="AE81" s="1798"/>
      <c r="AF81" s="1798"/>
      <c r="AG81" s="1798"/>
      <c r="AH81" s="1798"/>
      <c r="AI81" s="1798"/>
      <c r="AJ81" s="1798"/>
      <c r="AK81" s="1798"/>
      <c r="AL81" s="1798"/>
      <c r="AM81" s="1798"/>
      <c r="AN81" s="1798"/>
      <c r="AO81" s="1798"/>
      <c r="AP81" s="1798"/>
      <c r="AQ81" s="1798"/>
      <c r="AR81" s="1798"/>
      <c r="AS81" s="1798"/>
      <c r="AT81" s="1798"/>
      <c r="AU81" s="1798"/>
      <c r="AV81" s="1798"/>
      <c r="AW81" s="1798"/>
      <c r="AX81" s="1798"/>
      <c r="AY81" s="1798"/>
      <c r="AZ81" s="1798"/>
      <c r="BA81" s="1798"/>
      <c r="BB81" s="1798"/>
      <c r="BC81" s="1798"/>
      <c r="BD81" s="1798"/>
      <c r="BF81" s="138"/>
    </row>
    <row r="82" spans="1:70" x14ac:dyDescent="0.25">
      <c r="B82" s="137"/>
      <c r="D82" s="1799" t="s">
        <v>240</v>
      </c>
      <c r="E82" s="1799"/>
      <c r="F82" s="1798" t="s">
        <v>689</v>
      </c>
      <c r="G82" s="1798"/>
      <c r="H82" s="1798"/>
      <c r="I82" s="1798"/>
      <c r="J82" s="1798"/>
      <c r="K82" s="1798"/>
      <c r="L82" s="1798"/>
      <c r="M82" s="1798"/>
      <c r="N82" s="1798"/>
      <c r="O82" s="1798"/>
      <c r="P82" s="1798"/>
      <c r="Q82" s="1798"/>
      <c r="R82" s="1798"/>
      <c r="S82" s="1798"/>
      <c r="T82" s="1798"/>
      <c r="U82" s="1798"/>
      <c r="V82" s="1798"/>
      <c r="W82" s="1798"/>
      <c r="X82" s="1798"/>
      <c r="Y82" s="1798"/>
      <c r="Z82" s="1798"/>
      <c r="AA82" s="1798"/>
      <c r="AB82" s="1798"/>
      <c r="AC82" s="1798"/>
      <c r="AD82" s="1798"/>
      <c r="AE82" s="1798"/>
      <c r="AF82" s="1798"/>
      <c r="AG82" s="1798"/>
      <c r="AH82" s="1798"/>
      <c r="AI82" s="1798"/>
      <c r="AJ82" s="1798"/>
      <c r="AK82" s="1798"/>
      <c r="AL82" s="1798"/>
      <c r="AM82" s="1798"/>
      <c r="AN82" s="1798"/>
      <c r="AO82" s="1798"/>
      <c r="AP82" s="1798"/>
      <c r="AQ82" s="1798"/>
      <c r="AR82" s="1798"/>
      <c r="AS82" s="1798"/>
      <c r="AT82" s="1798"/>
      <c r="AU82" s="1798"/>
      <c r="AV82" s="1798"/>
      <c r="AW82" s="1798"/>
      <c r="AX82" s="1798"/>
      <c r="AY82" s="1798"/>
      <c r="AZ82" s="1798"/>
      <c r="BA82" s="1798"/>
      <c r="BB82" s="1798"/>
      <c r="BC82" s="1798"/>
      <c r="BD82" s="1798"/>
      <c r="BF82" s="138"/>
    </row>
    <row r="83" spans="1:70" x14ac:dyDescent="0.25">
      <c r="B83" s="137"/>
      <c r="D83" s="1800"/>
      <c r="E83" s="1800"/>
      <c r="F83" s="1798" t="s">
        <v>688</v>
      </c>
      <c r="G83" s="1798"/>
      <c r="H83" s="1798"/>
      <c r="I83" s="1798"/>
      <c r="J83" s="1798"/>
      <c r="K83" s="1798"/>
      <c r="L83" s="1798"/>
      <c r="M83" s="1798"/>
      <c r="N83" s="1798"/>
      <c r="O83" s="1798"/>
      <c r="P83" s="1798"/>
      <c r="Q83" s="1798"/>
      <c r="R83" s="1798"/>
      <c r="S83" s="1798"/>
      <c r="T83" s="1798"/>
      <c r="U83" s="1798"/>
      <c r="V83" s="1798"/>
      <c r="W83" s="1798"/>
      <c r="X83" s="1798"/>
      <c r="Y83" s="1798"/>
      <c r="Z83" s="1798"/>
      <c r="AA83" s="1798"/>
      <c r="AB83" s="1798"/>
      <c r="AC83" s="1798"/>
      <c r="AD83" s="1798"/>
      <c r="AE83" s="1798"/>
      <c r="AF83" s="1798"/>
      <c r="AG83" s="1798"/>
      <c r="AH83" s="1798"/>
      <c r="AI83" s="1798"/>
      <c r="AJ83" s="1798"/>
      <c r="AK83" s="1798"/>
      <c r="AL83" s="1798"/>
      <c r="AM83" s="1798"/>
      <c r="AN83" s="1798"/>
      <c r="AO83" s="1798"/>
      <c r="AP83" s="1798"/>
      <c r="AQ83" s="1798"/>
      <c r="AR83" s="1798"/>
      <c r="AS83" s="1798"/>
      <c r="AT83" s="1798"/>
      <c r="AU83" s="1798"/>
      <c r="AV83" s="1798"/>
      <c r="AW83" s="1798"/>
      <c r="AX83" s="1798"/>
      <c r="AY83" s="1798"/>
      <c r="AZ83" s="1798"/>
      <c r="BA83" s="1798"/>
      <c r="BB83" s="1798"/>
      <c r="BC83" s="1798"/>
      <c r="BD83" s="1798"/>
      <c r="BF83" s="138"/>
    </row>
    <row r="84" spans="1:70" x14ac:dyDescent="0.25">
      <c r="A84" s="270"/>
      <c r="B84" s="137"/>
      <c r="D84" s="1800"/>
      <c r="E84" s="1800"/>
      <c r="F84" s="1798" t="s">
        <v>687</v>
      </c>
      <c r="G84" s="1798"/>
      <c r="H84" s="1798"/>
      <c r="I84" s="1798"/>
      <c r="J84" s="1798"/>
      <c r="K84" s="1798"/>
      <c r="L84" s="1798"/>
      <c r="M84" s="1798"/>
      <c r="N84" s="1798"/>
      <c r="O84" s="1798"/>
      <c r="P84" s="1798"/>
      <c r="Q84" s="1798"/>
      <c r="R84" s="1798"/>
      <c r="S84" s="1798"/>
      <c r="T84" s="1798"/>
      <c r="U84" s="1798"/>
      <c r="V84" s="1798"/>
      <c r="W84" s="1798"/>
      <c r="X84" s="1798"/>
      <c r="Y84" s="1798"/>
      <c r="Z84" s="1798"/>
      <c r="AA84" s="1798"/>
      <c r="AB84" s="1798"/>
      <c r="AC84" s="1798"/>
      <c r="AD84" s="1798"/>
      <c r="AE84" s="1798"/>
      <c r="AF84" s="1798"/>
      <c r="AG84" s="1798"/>
      <c r="AH84" s="1798"/>
      <c r="AI84" s="1798"/>
      <c r="AJ84" s="1798"/>
      <c r="AK84" s="1798"/>
      <c r="AL84" s="1798"/>
      <c r="AM84" s="1798"/>
      <c r="AN84" s="1798"/>
      <c r="AO84" s="1798"/>
      <c r="AP84" s="1798"/>
      <c r="AQ84" s="1798"/>
      <c r="AR84" s="1798"/>
      <c r="AS84" s="1798"/>
      <c r="AT84" s="1798"/>
      <c r="AU84" s="1798"/>
      <c r="AV84" s="1798"/>
      <c r="AW84" s="1798"/>
      <c r="AX84" s="1798"/>
      <c r="AY84" s="1798"/>
      <c r="AZ84" s="1798"/>
      <c r="BA84" s="1798"/>
      <c r="BB84" s="1798"/>
      <c r="BC84" s="1798"/>
      <c r="BD84" s="1798"/>
      <c r="BF84" s="138"/>
    </row>
    <row r="85" spans="1:70" x14ac:dyDescent="0.25">
      <c r="B85" s="137"/>
      <c r="BF85" s="138"/>
    </row>
    <row r="86" spans="1:70" x14ac:dyDescent="0.25">
      <c r="B86" s="137"/>
      <c r="D86" s="1798" t="s">
        <v>686</v>
      </c>
      <c r="E86" s="1798"/>
      <c r="F86" s="1798"/>
      <c r="G86" s="1798"/>
      <c r="H86" s="1798"/>
      <c r="I86" s="1798"/>
      <c r="J86" s="1798"/>
      <c r="K86" s="1798"/>
      <c r="L86" s="1798"/>
      <c r="M86" s="1798"/>
      <c r="N86" s="1798"/>
      <c r="O86" s="1798"/>
      <c r="P86" s="1798"/>
      <c r="Q86" s="1798"/>
      <c r="R86" s="1798"/>
      <c r="S86" s="1798"/>
      <c r="T86" s="1798"/>
      <c r="U86" s="1798"/>
      <c r="V86" s="1798"/>
      <c r="W86" s="1798"/>
      <c r="X86" s="1798"/>
      <c r="Y86" s="1798"/>
      <c r="Z86" s="1798"/>
      <c r="AA86" s="1798"/>
      <c r="AB86" s="1798"/>
      <c r="AC86" s="1798"/>
      <c r="AD86" s="1798"/>
      <c r="AE86" s="1798"/>
      <c r="AF86" s="1798"/>
      <c r="AG86" s="1798"/>
      <c r="AH86" s="1798"/>
      <c r="AI86" s="1798"/>
      <c r="AJ86" s="1798"/>
      <c r="AK86" s="1798"/>
      <c r="AL86" s="1798"/>
      <c r="AM86" s="1798"/>
      <c r="AN86" s="1798"/>
      <c r="AO86" s="1798"/>
      <c r="AP86" s="1798"/>
      <c r="AQ86" s="1798"/>
      <c r="AR86" s="1798"/>
      <c r="AS86" s="1798"/>
      <c r="AT86" s="1798"/>
      <c r="AU86" s="1798"/>
      <c r="AV86" s="1798"/>
      <c r="AW86" s="1798"/>
      <c r="AX86" s="1798"/>
      <c r="AY86" s="1798"/>
      <c r="AZ86" s="1798"/>
      <c r="BA86" s="1798"/>
      <c r="BB86" s="1798"/>
      <c r="BC86" s="1798"/>
      <c r="BD86" s="1798"/>
      <c r="BF86" s="138"/>
    </row>
    <row r="87" spans="1:70" x14ac:dyDescent="0.25">
      <c r="B87" s="137"/>
      <c r="D87" s="1799" t="s">
        <v>240</v>
      </c>
      <c r="E87" s="1799"/>
      <c r="F87" s="1798" t="s">
        <v>685</v>
      </c>
      <c r="G87" s="1798"/>
      <c r="H87" s="1798"/>
      <c r="I87" s="1798"/>
      <c r="J87" s="1798"/>
      <c r="K87" s="1798"/>
      <c r="L87" s="1798"/>
      <c r="M87" s="1798"/>
      <c r="N87" s="1798"/>
      <c r="O87" s="1798"/>
      <c r="P87" s="1798"/>
      <c r="Q87" s="1798"/>
      <c r="R87" s="1798"/>
      <c r="S87" s="1798"/>
      <c r="T87" s="1798"/>
      <c r="U87" s="1798"/>
      <c r="V87" s="1798"/>
      <c r="W87" s="1798"/>
      <c r="X87" s="1798"/>
      <c r="Y87" s="1798"/>
      <c r="Z87" s="1798"/>
      <c r="AA87" s="1798"/>
      <c r="AB87" s="1798"/>
      <c r="AC87" s="1798"/>
      <c r="AD87" s="1798"/>
      <c r="AE87" s="1798"/>
      <c r="AF87" s="1798"/>
      <c r="AG87" s="1798"/>
      <c r="AH87" s="1798"/>
      <c r="AI87" s="1798"/>
      <c r="AJ87" s="1798"/>
      <c r="AK87" s="1798"/>
      <c r="AL87" s="1798"/>
      <c r="AM87" s="1798"/>
      <c r="AN87" s="1798"/>
      <c r="AO87" s="1798"/>
      <c r="AP87" s="1798"/>
      <c r="AQ87" s="1798"/>
      <c r="AR87" s="1798"/>
      <c r="AS87" s="1798"/>
      <c r="AT87" s="1798"/>
      <c r="AU87" s="1798"/>
      <c r="AV87" s="1798"/>
      <c r="AW87" s="1798"/>
      <c r="AX87" s="1798"/>
      <c r="AY87" s="1798"/>
      <c r="AZ87" s="1798"/>
      <c r="BA87" s="1798"/>
      <c r="BB87" s="1798"/>
      <c r="BC87" s="1798"/>
      <c r="BD87" s="1798"/>
      <c r="BF87" s="138"/>
    </row>
    <row r="88" spans="1:70" x14ac:dyDescent="0.25">
      <c r="B88" s="137"/>
      <c r="D88" s="1800"/>
      <c r="E88" s="1800"/>
      <c r="F88" s="1798" t="s">
        <v>684</v>
      </c>
      <c r="G88" s="1798"/>
      <c r="H88" s="1798"/>
      <c r="I88" s="1798"/>
      <c r="J88" s="1798"/>
      <c r="K88" s="1798"/>
      <c r="L88" s="1798"/>
      <c r="M88" s="1798"/>
      <c r="N88" s="1798"/>
      <c r="O88" s="1798"/>
      <c r="P88" s="1798"/>
      <c r="Q88" s="1798"/>
      <c r="R88" s="1798"/>
      <c r="S88" s="1798"/>
      <c r="T88" s="1798"/>
      <c r="U88" s="1798"/>
      <c r="V88" s="1798"/>
      <c r="W88" s="1798"/>
      <c r="X88" s="1798"/>
      <c r="Y88" s="1798"/>
      <c r="Z88" s="1798"/>
      <c r="AA88" s="1798"/>
      <c r="AB88" s="1798"/>
      <c r="AC88" s="1798"/>
      <c r="AD88" s="1798"/>
      <c r="AE88" s="1798"/>
      <c r="AF88" s="1798"/>
      <c r="AG88" s="1798"/>
      <c r="AH88" s="1798"/>
      <c r="AI88" s="1798"/>
      <c r="AJ88" s="1798"/>
      <c r="AK88" s="1798"/>
      <c r="AL88" s="1798"/>
      <c r="AM88" s="1798"/>
      <c r="AN88" s="1798"/>
      <c r="AO88" s="1798"/>
      <c r="AP88" s="1798"/>
      <c r="AQ88" s="1798"/>
      <c r="AR88" s="1798"/>
      <c r="AS88" s="1798"/>
      <c r="AT88" s="1798"/>
      <c r="AU88" s="1798"/>
      <c r="AV88" s="1798"/>
      <c r="AW88" s="1798"/>
      <c r="AX88" s="1798"/>
      <c r="AY88" s="1798"/>
      <c r="AZ88" s="1798"/>
      <c r="BA88" s="1798"/>
      <c r="BB88" s="1798"/>
      <c r="BC88" s="1798"/>
      <c r="BD88" s="179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14" t="s">
        <v>965</v>
      </c>
      <c r="C92" s="1815"/>
      <c r="D92" s="1815"/>
      <c r="E92" s="1815"/>
      <c r="F92" s="1815"/>
      <c r="G92" s="1815"/>
      <c r="H92" s="1815"/>
      <c r="I92" s="1815"/>
      <c r="J92" s="1815"/>
      <c r="K92" s="1815"/>
      <c r="L92" s="1815"/>
      <c r="M92" s="1815"/>
      <c r="N92" s="1815"/>
      <c r="O92" s="1815"/>
      <c r="P92" s="1815"/>
      <c r="Q92" s="1815"/>
      <c r="R92" s="1815"/>
      <c r="S92" s="1815"/>
      <c r="T92" s="1815"/>
      <c r="U92" s="1815"/>
      <c r="V92" s="1815"/>
      <c r="W92" s="1815"/>
      <c r="X92" s="1815"/>
      <c r="Y92" s="1815"/>
      <c r="Z92" s="1815"/>
      <c r="AA92" s="1815"/>
      <c r="AB92" s="1815"/>
      <c r="AC92" s="1815"/>
      <c r="AD92" s="1815"/>
      <c r="AE92" s="1815"/>
      <c r="AF92" s="1815"/>
      <c r="AG92" s="1815"/>
      <c r="AH92" s="1815"/>
      <c r="AI92" s="1815"/>
      <c r="AJ92" s="1815"/>
      <c r="AK92" s="1815"/>
      <c r="AL92" s="1815"/>
      <c r="AM92" s="1815"/>
      <c r="AN92" s="1815"/>
      <c r="AO92" s="1815"/>
      <c r="AP92" s="1815"/>
      <c r="AQ92" s="1815"/>
      <c r="AR92" s="1815"/>
      <c r="AS92" s="1815"/>
      <c r="AT92" s="1815"/>
      <c r="AU92" s="1815"/>
      <c r="AV92" s="1815"/>
      <c r="AW92" s="1815"/>
      <c r="AX92" s="1815"/>
      <c r="AY92" s="1815"/>
      <c r="AZ92" s="1815"/>
      <c r="BA92" s="1815"/>
      <c r="BB92" s="1815"/>
      <c r="BC92" s="1815"/>
      <c r="BD92" s="1815"/>
      <c r="BE92" s="1815"/>
      <c r="BF92" s="1816"/>
    </row>
    <row r="93" spans="1:70" ht="15.75" thickBot="1" x14ac:dyDescent="0.3">
      <c r="B93" s="137"/>
      <c r="BF93" s="138"/>
      <c r="BR93" s="263"/>
    </row>
    <row r="94" spans="1:70" ht="15.75" thickBot="1" x14ac:dyDescent="0.3">
      <c r="B94" s="137"/>
      <c r="D94" s="1828" t="s">
        <v>726</v>
      </c>
      <c r="E94" s="1829"/>
      <c r="F94" s="1829"/>
      <c r="G94" s="1829"/>
      <c r="H94" s="1829"/>
      <c r="I94" s="1829"/>
      <c r="J94" s="1829"/>
      <c r="K94" s="1835" t="s">
        <v>727</v>
      </c>
      <c r="L94" s="1829"/>
      <c r="M94" s="1829"/>
      <c r="N94" s="1829"/>
      <c r="O94" s="1829"/>
      <c r="P94" s="1829"/>
      <c r="Q94" s="1829"/>
      <c r="R94" s="1829"/>
      <c r="S94" s="1829"/>
      <c r="T94" s="1829"/>
      <c r="U94" s="1835" t="s">
        <v>770</v>
      </c>
      <c r="V94" s="1829"/>
      <c r="W94" s="1829"/>
      <c r="X94" s="1829"/>
      <c r="Y94" s="1829"/>
      <c r="Z94" s="1829"/>
      <c r="AA94" s="1829"/>
      <c r="AB94" s="1829"/>
      <c r="AC94" s="1829"/>
      <c r="AD94" s="1829"/>
      <c r="AE94" s="1829"/>
      <c r="AF94" s="1829"/>
      <c r="AG94" s="1829"/>
      <c r="AH94" s="1829"/>
      <c r="AI94" s="1829"/>
      <c r="AJ94" s="1835" t="s">
        <v>771</v>
      </c>
      <c r="AK94" s="1829"/>
      <c r="AL94" s="1829"/>
      <c r="AM94" s="1829"/>
      <c r="AN94" s="1829"/>
      <c r="AO94" s="1829"/>
      <c r="AP94" s="1829"/>
      <c r="AQ94" s="1829"/>
      <c r="AR94" s="1829"/>
      <c r="AS94" s="1829"/>
      <c r="AT94" s="1847"/>
      <c r="AU94" s="1835" t="s">
        <v>772</v>
      </c>
      <c r="AV94" s="1829"/>
      <c r="AW94" s="1829"/>
      <c r="AX94" s="1847"/>
      <c r="AY94" s="1835" t="s">
        <v>816</v>
      </c>
      <c r="AZ94" s="1829"/>
      <c r="BA94" s="1829"/>
      <c r="BB94" s="1829"/>
      <c r="BC94" s="1857"/>
      <c r="BF94" s="138"/>
    </row>
    <row r="95" spans="1:70" x14ac:dyDescent="0.25">
      <c r="B95" s="137"/>
      <c r="C95" s="556">
        <v>1</v>
      </c>
      <c r="D95" s="1827">
        <f>'Customer Inputs'!$B$6</f>
        <v>0</v>
      </c>
      <c r="E95" s="1827"/>
      <c r="F95" s="1827"/>
      <c r="G95" s="1827"/>
      <c r="H95" s="1827"/>
      <c r="I95" s="1827"/>
      <c r="J95" s="1827"/>
      <c r="K95" s="1783" t="str">
        <f>IFERROR(IFERROR('Multi-Customer'!$BB$39,VLOOKUP($D95,'Required Info to Submit'!$E$23:$J$32,2,FALSE)),"")</f>
        <v/>
      </c>
      <c r="L95" s="1783"/>
      <c r="M95" s="1783"/>
      <c r="N95" s="1783"/>
      <c r="O95" s="1783"/>
      <c r="P95" s="1783"/>
      <c r="Q95" s="1783"/>
      <c r="R95" s="1783"/>
      <c r="S95" s="1783"/>
      <c r="T95" s="1783"/>
      <c r="U95" s="1783" t="str">
        <f>IFERROR(IFERROR('Multi-Customer'!$BB$41&amp;" "&amp;'Multi-Customer'!$BB$42,VLOOKUP($D95,'Required Info to Submit'!$E$23:$J$32,3,FALSE)),"")</f>
        <v/>
      </c>
      <c r="V95" s="1783"/>
      <c r="W95" s="1783"/>
      <c r="X95" s="1783"/>
      <c r="Y95" s="1783"/>
      <c r="Z95" s="1783"/>
      <c r="AA95" s="1783"/>
      <c r="AB95" s="1783"/>
      <c r="AC95" s="1783"/>
      <c r="AD95" s="1783"/>
      <c r="AE95" s="1783"/>
      <c r="AF95" s="1783"/>
      <c r="AG95" s="1783"/>
      <c r="AH95" s="1783"/>
      <c r="AI95" s="1783"/>
      <c r="AJ95" s="1844" t="str">
        <f>IFERROR(IFERROR('Multi-Customer'!$BB$43,VLOOKUP($D95,'Required Info to Submit'!$E$23:$J$32,4,FALSE)),"")</f>
        <v/>
      </c>
      <c r="AK95" s="1845"/>
      <c r="AL95" s="1845"/>
      <c r="AM95" s="1845"/>
      <c r="AN95" s="1845"/>
      <c r="AO95" s="1845"/>
      <c r="AP95" s="1845"/>
      <c r="AQ95" s="1845"/>
      <c r="AR95" s="1845"/>
      <c r="AS95" s="1845"/>
      <c r="AT95" s="1846"/>
      <c r="AU95" s="1848" t="str">
        <f>IFERROR(IFERROR('Multi-Customer'!$BB$44,VLOOKUP($D95,'Required Info to Submit'!$E$23:$J$32,5,FALSE)),"")</f>
        <v/>
      </c>
      <c r="AV95" s="1849"/>
      <c r="AW95" s="1849"/>
      <c r="AX95" s="1850"/>
      <c r="AY95" s="1854" t="str">
        <f>IFERROR(IFERROR('Multi-Customer'!$BB$45,VLOOKUP($D95,'Required Info to Submit'!$E$23:$J$32,6,FALSE)),"")</f>
        <v/>
      </c>
      <c r="AZ95" s="1855"/>
      <c r="BA95" s="1855"/>
      <c r="BB95" s="1855"/>
      <c r="BC95" s="1856"/>
      <c r="BF95" s="138"/>
    </row>
    <row r="96" spans="1:70" x14ac:dyDescent="0.25">
      <c r="B96" s="137"/>
      <c r="C96" s="557">
        <v>2</v>
      </c>
      <c r="D96" s="1826">
        <f>'Customer Inputs'!$B$7</f>
        <v>0</v>
      </c>
      <c r="E96" s="1826"/>
      <c r="F96" s="1826"/>
      <c r="G96" s="1826"/>
      <c r="H96" s="1826"/>
      <c r="I96" s="1826"/>
      <c r="J96" s="1826"/>
      <c r="K96" s="1769" t="str">
        <f>IFERROR(IFERROR('Multi-Customer'!$BY$39,VLOOKUP($D96,'Required Info to Submit'!$E$23:$J$32,2,FALSE)),"")</f>
        <v/>
      </c>
      <c r="L96" s="1769"/>
      <c r="M96" s="1769"/>
      <c r="N96" s="1769"/>
      <c r="O96" s="1769"/>
      <c r="P96" s="1769"/>
      <c r="Q96" s="1769"/>
      <c r="R96" s="1769"/>
      <c r="S96" s="1769"/>
      <c r="T96" s="1769"/>
      <c r="U96" s="1769" t="str">
        <f>IFERROR(IFERROR('Multi-Customer'!$BY$41&amp;" "&amp;'Multi-Customer'!$BY$42,VLOOKUP($D96,'Required Info to Submit'!$E$23:$J$32,3,FALSE)),"")</f>
        <v/>
      </c>
      <c r="V96" s="1769"/>
      <c r="W96" s="1769"/>
      <c r="X96" s="1769"/>
      <c r="Y96" s="1769"/>
      <c r="Z96" s="1769"/>
      <c r="AA96" s="1769"/>
      <c r="AB96" s="1769"/>
      <c r="AC96" s="1769"/>
      <c r="AD96" s="1769"/>
      <c r="AE96" s="1769"/>
      <c r="AF96" s="1769"/>
      <c r="AG96" s="1769"/>
      <c r="AH96" s="1769"/>
      <c r="AI96" s="1769"/>
      <c r="AJ96" s="1841" t="str">
        <f>IFERROR(IFERROR('Multi-Customer'!$BY$43,VLOOKUP($D96,'Required Info to Submit'!$E$23:$J$32,4,FALSE)),"")</f>
        <v/>
      </c>
      <c r="AK96" s="1842"/>
      <c r="AL96" s="1842"/>
      <c r="AM96" s="1842"/>
      <c r="AN96" s="1842"/>
      <c r="AO96" s="1842"/>
      <c r="AP96" s="1842"/>
      <c r="AQ96" s="1842"/>
      <c r="AR96" s="1842"/>
      <c r="AS96" s="1842"/>
      <c r="AT96" s="1843"/>
      <c r="AU96" s="1713" t="str">
        <f>IFERROR(IFERROR('Multi-Customer'!$BY$44,VLOOKUP($D96,'Required Info to Submit'!$E$23:$J$32,5,FALSE)),"")</f>
        <v/>
      </c>
      <c r="AV96" s="1714"/>
      <c r="AW96" s="1714"/>
      <c r="AX96" s="1715"/>
      <c r="AY96" s="1760" t="str">
        <f>IFERROR(IFERROR('Multi-Customer'!$BY$45,VLOOKUP($D96,'Required Info to Submit'!$E$23:$J$32,6,FALSE)),"")</f>
        <v/>
      </c>
      <c r="AZ96" s="1761"/>
      <c r="BA96" s="1761"/>
      <c r="BB96" s="1761"/>
      <c r="BC96" s="1762"/>
      <c r="BF96" s="138"/>
    </row>
    <row r="97" spans="2:58" x14ac:dyDescent="0.25">
      <c r="B97" s="137"/>
      <c r="C97" s="557">
        <v>3</v>
      </c>
      <c r="D97" s="1826">
        <f>'Customer Inputs'!$B$8</f>
        <v>0</v>
      </c>
      <c r="E97" s="1826"/>
      <c r="F97" s="1826"/>
      <c r="G97" s="1826"/>
      <c r="H97" s="1826"/>
      <c r="I97" s="1826"/>
      <c r="J97" s="1826"/>
      <c r="K97" s="1769" t="str">
        <f>IFERROR(IFERROR('Multi-Customer'!$CV$39,VLOOKUP($D97,'Required Info to Submit'!$E$23:$J$32,2,FALSE)),"")</f>
        <v/>
      </c>
      <c r="L97" s="1769"/>
      <c r="M97" s="1769"/>
      <c r="N97" s="1769"/>
      <c r="O97" s="1769"/>
      <c r="P97" s="1769"/>
      <c r="Q97" s="1769"/>
      <c r="R97" s="1769"/>
      <c r="S97" s="1769"/>
      <c r="T97" s="1769"/>
      <c r="U97" s="1769" t="str">
        <f>IFERROR(IFERROR('Multi-Customer'!$CV$41&amp;" "&amp;'Multi-Customer'!$CV$42,VLOOKUP($D97,'Required Info to Submit'!$E$23:$J$32,3,FALSE)),"")</f>
        <v/>
      </c>
      <c r="V97" s="1769"/>
      <c r="W97" s="1769"/>
      <c r="X97" s="1769"/>
      <c r="Y97" s="1769"/>
      <c r="Z97" s="1769"/>
      <c r="AA97" s="1769"/>
      <c r="AB97" s="1769"/>
      <c r="AC97" s="1769"/>
      <c r="AD97" s="1769"/>
      <c r="AE97" s="1769"/>
      <c r="AF97" s="1769"/>
      <c r="AG97" s="1769"/>
      <c r="AH97" s="1769"/>
      <c r="AI97" s="1769"/>
      <c r="AJ97" s="1841" t="str">
        <f>IFERROR(IFERROR('Multi-Customer'!$CV$43,VLOOKUP($D97,'Required Info to Submit'!$E$23:$J$32,4,FALSE)),"")</f>
        <v/>
      </c>
      <c r="AK97" s="1842"/>
      <c r="AL97" s="1842"/>
      <c r="AM97" s="1842"/>
      <c r="AN97" s="1842"/>
      <c r="AO97" s="1842"/>
      <c r="AP97" s="1842"/>
      <c r="AQ97" s="1842"/>
      <c r="AR97" s="1842"/>
      <c r="AS97" s="1842"/>
      <c r="AT97" s="1843"/>
      <c r="AU97" s="1713" t="str">
        <f>IFERROR(IFERROR('Multi-Customer'!$CV$44,VLOOKUP($D97,'Required Info to Submit'!$E$23:$J$32,5,FALSE)),"")</f>
        <v/>
      </c>
      <c r="AV97" s="1714"/>
      <c r="AW97" s="1714"/>
      <c r="AX97" s="1715"/>
      <c r="AY97" s="1760" t="str">
        <f>IFERROR(IFERROR('Multi-Customer'!$CV$45,VLOOKUP($D97,'Required Info to Submit'!$E$23:$J$32,6,FALSE)),"")</f>
        <v/>
      </c>
      <c r="AZ97" s="1761"/>
      <c r="BA97" s="1761"/>
      <c r="BB97" s="1761"/>
      <c r="BC97" s="1762"/>
      <c r="BF97" s="138"/>
    </row>
    <row r="98" spans="2:58" x14ac:dyDescent="0.25">
      <c r="B98" s="137"/>
      <c r="C98" s="557">
        <v>4</v>
      </c>
      <c r="D98" s="1826">
        <f>'Customer Inputs'!$B$9</f>
        <v>0</v>
      </c>
      <c r="E98" s="1826"/>
      <c r="F98" s="1826"/>
      <c r="G98" s="1826"/>
      <c r="H98" s="1826"/>
      <c r="I98" s="1826"/>
      <c r="J98" s="1826"/>
      <c r="K98" s="1769" t="str">
        <f>IFERROR(IFERROR('Multi-Customer'!$DS$39,VLOOKUP($D98,'Required Info to Submit'!$E$23:$J$32,2,FALSE)),"")</f>
        <v/>
      </c>
      <c r="L98" s="1769"/>
      <c r="M98" s="1769"/>
      <c r="N98" s="1769"/>
      <c r="O98" s="1769"/>
      <c r="P98" s="1769"/>
      <c r="Q98" s="1769"/>
      <c r="R98" s="1769"/>
      <c r="S98" s="1769"/>
      <c r="T98" s="1769"/>
      <c r="U98" s="1769" t="str">
        <f>IFERROR(IFERROR('Multi-Customer'!$DS$41&amp;" "&amp;'Multi-Customer'!$DS$42,VLOOKUP($D98,'Required Info to Submit'!$E$23:$J$32,3,FALSE)),"")</f>
        <v/>
      </c>
      <c r="V98" s="1769"/>
      <c r="W98" s="1769"/>
      <c r="X98" s="1769"/>
      <c r="Y98" s="1769"/>
      <c r="Z98" s="1769"/>
      <c r="AA98" s="1769"/>
      <c r="AB98" s="1769"/>
      <c r="AC98" s="1769"/>
      <c r="AD98" s="1769"/>
      <c r="AE98" s="1769"/>
      <c r="AF98" s="1769"/>
      <c r="AG98" s="1769"/>
      <c r="AH98" s="1769"/>
      <c r="AI98" s="1769"/>
      <c r="AJ98" s="1841" t="str">
        <f>IFERROR(IFERROR('Multi-Customer'!$DS$43,VLOOKUP($D98,'Required Info to Submit'!$E$23:$J$32,4,FALSE)),"")</f>
        <v/>
      </c>
      <c r="AK98" s="1842"/>
      <c r="AL98" s="1842"/>
      <c r="AM98" s="1842"/>
      <c r="AN98" s="1842"/>
      <c r="AO98" s="1842"/>
      <c r="AP98" s="1842"/>
      <c r="AQ98" s="1842"/>
      <c r="AR98" s="1842"/>
      <c r="AS98" s="1842"/>
      <c r="AT98" s="1843"/>
      <c r="AU98" s="1713" t="str">
        <f>IFERROR(IFERROR('Multi-Customer'!$DS$44,VLOOKUP($D98,'Required Info to Submit'!$E$23:$J$32,5,FALSE)),"")</f>
        <v/>
      </c>
      <c r="AV98" s="1714"/>
      <c r="AW98" s="1714"/>
      <c r="AX98" s="1715"/>
      <c r="AY98" s="1760" t="str">
        <f>IFERROR(IFERROR('Multi-Customer'!$DS$45,VLOOKUP($D98,'Required Info to Submit'!$E$23:$J$32,6,FALSE)),"")</f>
        <v/>
      </c>
      <c r="AZ98" s="1761"/>
      <c r="BA98" s="1761"/>
      <c r="BB98" s="1761"/>
      <c r="BC98" s="1762"/>
      <c r="BF98" s="138"/>
    </row>
    <row r="99" spans="2:58" x14ac:dyDescent="0.25">
      <c r="B99" s="137"/>
      <c r="C99" s="557">
        <v>5</v>
      </c>
      <c r="D99" s="1826">
        <f>'Customer Inputs'!$B$10</f>
        <v>0</v>
      </c>
      <c r="E99" s="1826"/>
      <c r="F99" s="1826"/>
      <c r="G99" s="1826"/>
      <c r="H99" s="1826"/>
      <c r="I99" s="1826"/>
      <c r="J99" s="1826"/>
      <c r="K99" s="1769" t="str">
        <f>IFERROR(IFERROR('Multi-Customer'!$EP$39,VLOOKUP($D99,'Required Info to Submit'!$E$23:$J$32,2,FALSE)),"")</f>
        <v/>
      </c>
      <c r="L99" s="1769"/>
      <c r="M99" s="1769"/>
      <c r="N99" s="1769"/>
      <c r="O99" s="1769"/>
      <c r="P99" s="1769"/>
      <c r="Q99" s="1769"/>
      <c r="R99" s="1769"/>
      <c r="S99" s="1769"/>
      <c r="T99" s="1769"/>
      <c r="U99" s="1769" t="str">
        <f>IFERROR(IFERROR('Multi-Customer'!$EP$41&amp;" "&amp;'Multi-Customer'!$EP$42,VLOOKUP($D99,'Required Info to Submit'!$E$23:$J$32,3,FALSE)),"")</f>
        <v/>
      </c>
      <c r="V99" s="1769"/>
      <c r="W99" s="1769"/>
      <c r="X99" s="1769"/>
      <c r="Y99" s="1769"/>
      <c r="Z99" s="1769"/>
      <c r="AA99" s="1769"/>
      <c r="AB99" s="1769"/>
      <c r="AC99" s="1769"/>
      <c r="AD99" s="1769"/>
      <c r="AE99" s="1769"/>
      <c r="AF99" s="1769"/>
      <c r="AG99" s="1769"/>
      <c r="AH99" s="1769"/>
      <c r="AI99" s="1769"/>
      <c r="AJ99" s="1841" t="str">
        <f>IFERROR(IFERROR('Multi-Customer'!$EP$43,VLOOKUP($D99,'Required Info to Submit'!$E$23:$J$32,4,FALSE)),"")</f>
        <v/>
      </c>
      <c r="AK99" s="1842"/>
      <c r="AL99" s="1842"/>
      <c r="AM99" s="1842"/>
      <c r="AN99" s="1842"/>
      <c r="AO99" s="1842"/>
      <c r="AP99" s="1842"/>
      <c r="AQ99" s="1842"/>
      <c r="AR99" s="1842"/>
      <c r="AS99" s="1842"/>
      <c r="AT99" s="1843"/>
      <c r="AU99" s="1713" t="str">
        <f>IFERROR(IFERROR('Multi-Customer'!$EP$44,VLOOKUP($D99,'Required Info to Submit'!$E$23:$J$32,5,FALSE)),"")</f>
        <v/>
      </c>
      <c r="AV99" s="1714"/>
      <c r="AW99" s="1714"/>
      <c r="AX99" s="1715"/>
      <c r="AY99" s="1760" t="str">
        <f>IFERROR(IFERROR('Multi-Customer'!$EP$45,VLOOKUP($D99,'Required Info to Submit'!$E$23:$J$32,6,FALSE)),"")</f>
        <v/>
      </c>
      <c r="AZ99" s="1761"/>
      <c r="BA99" s="1761"/>
      <c r="BB99" s="1761"/>
      <c r="BC99" s="1762"/>
      <c r="BF99" s="138"/>
    </row>
    <row r="100" spans="2:58" x14ac:dyDescent="0.25">
      <c r="B100" s="137"/>
      <c r="C100" s="557">
        <v>6</v>
      </c>
      <c r="D100" s="1826">
        <f>'Customer Inputs'!$B$11</f>
        <v>0</v>
      </c>
      <c r="E100" s="1826"/>
      <c r="F100" s="1826"/>
      <c r="G100" s="1826"/>
      <c r="H100" s="1826"/>
      <c r="I100" s="1826"/>
      <c r="J100" s="1826"/>
      <c r="K100" s="1769" t="str">
        <f>IFERROR(IFERROR('Multi-Customer'!$FM$39,VLOOKUP($D100,'Required Info to Submit'!$E$23:$J$32,2,FALSE)),"")</f>
        <v/>
      </c>
      <c r="L100" s="1769"/>
      <c r="M100" s="1769"/>
      <c r="N100" s="1769"/>
      <c r="O100" s="1769"/>
      <c r="P100" s="1769"/>
      <c r="Q100" s="1769"/>
      <c r="R100" s="1769"/>
      <c r="S100" s="1769"/>
      <c r="T100" s="1769"/>
      <c r="U100" s="1769" t="str">
        <f>IFERROR(IFERROR('Multi-Customer'!$FM$41&amp;" "&amp;'Multi-Customer'!$FM$42,VLOOKUP($D100,'Required Info to Submit'!$E$23:$J$32,3,FALSE)),"")</f>
        <v/>
      </c>
      <c r="V100" s="1769"/>
      <c r="W100" s="1769"/>
      <c r="X100" s="1769"/>
      <c r="Y100" s="1769"/>
      <c r="Z100" s="1769"/>
      <c r="AA100" s="1769"/>
      <c r="AB100" s="1769"/>
      <c r="AC100" s="1769"/>
      <c r="AD100" s="1769"/>
      <c r="AE100" s="1769"/>
      <c r="AF100" s="1769"/>
      <c r="AG100" s="1769"/>
      <c r="AH100" s="1769"/>
      <c r="AI100" s="1769"/>
      <c r="AJ100" s="1841" t="str">
        <f>IFERROR(IFERROR('Multi-Customer'!$FM$43,VLOOKUP($D100,'Required Info to Submit'!$E$23:$J$32,4,FALSE)),"")</f>
        <v/>
      </c>
      <c r="AK100" s="1842"/>
      <c r="AL100" s="1842"/>
      <c r="AM100" s="1842"/>
      <c r="AN100" s="1842"/>
      <c r="AO100" s="1842"/>
      <c r="AP100" s="1842"/>
      <c r="AQ100" s="1842"/>
      <c r="AR100" s="1842"/>
      <c r="AS100" s="1842"/>
      <c r="AT100" s="1843"/>
      <c r="AU100" s="1713" t="str">
        <f>IFERROR(IFERROR('Multi-Customer'!$FM$44,VLOOKUP($D100,'Required Info to Submit'!$E$23:$J$32,5,FALSE)),"")</f>
        <v/>
      </c>
      <c r="AV100" s="1714"/>
      <c r="AW100" s="1714"/>
      <c r="AX100" s="1715"/>
      <c r="AY100" s="1760" t="str">
        <f>IFERROR(IFERROR('Multi-Customer'!$FM$45,VLOOKUP($D100,'Required Info to Submit'!$E$23:$J$32,6,FALSE)),"")</f>
        <v/>
      </c>
      <c r="AZ100" s="1761"/>
      <c r="BA100" s="1761"/>
      <c r="BB100" s="1761"/>
      <c r="BC100" s="1762"/>
      <c r="BF100" s="138"/>
    </row>
    <row r="101" spans="2:58" x14ac:dyDescent="0.25">
      <c r="B101" s="137"/>
      <c r="C101" s="557">
        <v>7</v>
      </c>
      <c r="D101" s="1826">
        <f>'Customer Inputs'!$B$12</f>
        <v>0</v>
      </c>
      <c r="E101" s="1826"/>
      <c r="F101" s="1826"/>
      <c r="G101" s="1826"/>
      <c r="H101" s="1826"/>
      <c r="I101" s="1826"/>
      <c r="J101" s="1826"/>
      <c r="K101" s="1769" t="str">
        <f>IFERROR(IFERROR('Multi-Customer'!$GJ$39,VLOOKUP($D101,'Required Info to Submit'!$E$23:$J$32,2,FALSE)),"")</f>
        <v/>
      </c>
      <c r="L101" s="1769"/>
      <c r="M101" s="1769"/>
      <c r="N101" s="1769"/>
      <c r="O101" s="1769"/>
      <c r="P101" s="1769"/>
      <c r="Q101" s="1769"/>
      <c r="R101" s="1769"/>
      <c r="S101" s="1769"/>
      <c r="T101" s="1769"/>
      <c r="U101" s="1769" t="str">
        <f>IFERROR(IFERROR('Multi-Customer'!$GJ$41&amp;" "&amp;'Multi-Customer'!$GJ$42,VLOOKUP($D101,'Required Info to Submit'!$E$23:$J$32,3,FALSE)),"")</f>
        <v/>
      </c>
      <c r="V101" s="1769"/>
      <c r="W101" s="1769"/>
      <c r="X101" s="1769"/>
      <c r="Y101" s="1769"/>
      <c r="Z101" s="1769"/>
      <c r="AA101" s="1769"/>
      <c r="AB101" s="1769"/>
      <c r="AC101" s="1769"/>
      <c r="AD101" s="1769"/>
      <c r="AE101" s="1769"/>
      <c r="AF101" s="1769"/>
      <c r="AG101" s="1769"/>
      <c r="AH101" s="1769"/>
      <c r="AI101" s="1769"/>
      <c r="AJ101" s="1841" t="str">
        <f>IFERROR(IFERROR('Multi-Customer'!$GJ$43,VLOOKUP($D101,'Required Info to Submit'!$E$23:$J$32,4,FALSE)),"")</f>
        <v/>
      </c>
      <c r="AK101" s="1842"/>
      <c r="AL101" s="1842"/>
      <c r="AM101" s="1842"/>
      <c r="AN101" s="1842"/>
      <c r="AO101" s="1842"/>
      <c r="AP101" s="1842"/>
      <c r="AQ101" s="1842"/>
      <c r="AR101" s="1842"/>
      <c r="AS101" s="1842"/>
      <c r="AT101" s="1843"/>
      <c r="AU101" s="1713" t="str">
        <f>IFERROR(IFERROR('Multi-Customer'!$GJ$44,VLOOKUP($D101,'Required Info to Submit'!$E$23:$J$32,5,FALSE)),"")</f>
        <v/>
      </c>
      <c r="AV101" s="1714"/>
      <c r="AW101" s="1714"/>
      <c r="AX101" s="1715"/>
      <c r="AY101" s="1760" t="str">
        <f>IFERROR(IFERROR('Multi-Customer'!$GJ$45,VLOOKUP($D101,'Required Info to Submit'!$E$23:$J$32,6,FALSE)),"")</f>
        <v/>
      </c>
      <c r="AZ101" s="1761"/>
      <c r="BA101" s="1761"/>
      <c r="BB101" s="1761"/>
      <c r="BC101" s="1762"/>
      <c r="BF101" s="138"/>
    </row>
    <row r="102" spans="2:58" x14ac:dyDescent="0.25">
      <c r="B102" s="137"/>
      <c r="C102" s="557">
        <v>8</v>
      </c>
      <c r="D102" s="1826">
        <f>'Customer Inputs'!$B$13</f>
        <v>0</v>
      </c>
      <c r="E102" s="1826"/>
      <c r="F102" s="1826"/>
      <c r="G102" s="1826"/>
      <c r="H102" s="1826"/>
      <c r="I102" s="1826"/>
      <c r="J102" s="1826"/>
      <c r="K102" s="1769" t="str">
        <f>IFERROR(IFERROR('Multi-Customer'!$HG$39,VLOOKUP($D102,'Required Info to Submit'!$E$23:$J$32,2,FALSE)),"")</f>
        <v/>
      </c>
      <c r="L102" s="1769"/>
      <c r="M102" s="1769"/>
      <c r="N102" s="1769"/>
      <c r="O102" s="1769"/>
      <c r="P102" s="1769"/>
      <c r="Q102" s="1769"/>
      <c r="R102" s="1769"/>
      <c r="S102" s="1769"/>
      <c r="T102" s="1769"/>
      <c r="U102" s="1769" t="str">
        <f>IFERROR(IFERROR('Multi-Customer'!$HG$41&amp;" "&amp;'Multi-Customer'!$HG$42,VLOOKUP($D102,'Required Info to Submit'!$E$23:$J$32,3,FALSE)),"")</f>
        <v/>
      </c>
      <c r="V102" s="1769"/>
      <c r="W102" s="1769"/>
      <c r="X102" s="1769"/>
      <c r="Y102" s="1769"/>
      <c r="Z102" s="1769"/>
      <c r="AA102" s="1769"/>
      <c r="AB102" s="1769"/>
      <c r="AC102" s="1769"/>
      <c r="AD102" s="1769"/>
      <c r="AE102" s="1769"/>
      <c r="AF102" s="1769"/>
      <c r="AG102" s="1769"/>
      <c r="AH102" s="1769"/>
      <c r="AI102" s="1769"/>
      <c r="AJ102" s="1841" t="str">
        <f>IFERROR(IFERROR('Multi-Customer'!$HG$43,VLOOKUP($D102,'Required Info to Submit'!$E$23:$J$32,4,FALSE)),"")</f>
        <v/>
      </c>
      <c r="AK102" s="1842"/>
      <c r="AL102" s="1842"/>
      <c r="AM102" s="1842"/>
      <c r="AN102" s="1842"/>
      <c r="AO102" s="1842"/>
      <c r="AP102" s="1842"/>
      <c r="AQ102" s="1842"/>
      <c r="AR102" s="1842"/>
      <c r="AS102" s="1842"/>
      <c r="AT102" s="1843"/>
      <c r="AU102" s="1713" t="str">
        <f>IFERROR(IFERROR('Multi-Customer'!$HG$44,VLOOKUP($D102,'Required Info to Submit'!$E$23:$J$32,5,FALSE)),"")</f>
        <v/>
      </c>
      <c r="AV102" s="1714"/>
      <c r="AW102" s="1714"/>
      <c r="AX102" s="1715"/>
      <c r="AY102" s="1760" t="str">
        <f>IFERROR(IFERROR('Multi-Customer'!$HG$45,VLOOKUP($D102,'Required Info to Submit'!$E$23:$J$32,6,FALSE)),"")</f>
        <v/>
      </c>
      <c r="AZ102" s="1761"/>
      <c r="BA102" s="1761"/>
      <c r="BB102" s="1761"/>
      <c r="BC102" s="1762"/>
      <c r="BF102" s="138"/>
    </row>
    <row r="103" spans="2:58" x14ac:dyDescent="0.25">
      <c r="B103" s="137"/>
      <c r="C103" s="557">
        <v>9</v>
      </c>
      <c r="D103" s="1826">
        <f>'Customer Inputs'!$B$14</f>
        <v>0</v>
      </c>
      <c r="E103" s="1826"/>
      <c r="F103" s="1826"/>
      <c r="G103" s="1826"/>
      <c r="H103" s="1826"/>
      <c r="I103" s="1826"/>
      <c r="J103" s="1826"/>
      <c r="K103" s="1769" t="str">
        <f>IFERROR(IFERROR('Multi-Customer'!$ID$39,VLOOKUP($D103,'Required Info to Submit'!$E$23:$J$32,2,FALSE)),"")</f>
        <v/>
      </c>
      <c r="L103" s="1769"/>
      <c r="M103" s="1769"/>
      <c r="N103" s="1769"/>
      <c r="O103" s="1769"/>
      <c r="P103" s="1769"/>
      <c r="Q103" s="1769"/>
      <c r="R103" s="1769"/>
      <c r="S103" s="1769"/>
      <c r="T103" s="1769"/>
      <c r="U103" s="1769" t="str">
        <f>IFERROR(IFERROR('Multi-Customer'!$ID$41&amp;" "&amp;'Multi-Customer'!$ID$42,VLOOKUP($D103,'Required Info to Submit'!$E$23:$J$32,3,FALSE)),"")</f>
        <v/>
      </c>
      <c r="V103" s="1769"/>
      <c r="W103" s="1769"/>
      <c r="X103" s="1769"/>
      <c r="Y103" s="1769"/>
      <c r="Z103" s="1769"/>
      <c r="AA103" s="1769"/>
      <c r="AB103" s="1769"/>
      <c r="AC103" s="1769"/>
      <c r="AD103" s="1769"/>
      <c r="AE103" s="1769"/>
      <c r="AF103" s="1769"/>
      <c r="AG103" s="1769"/>
      <c r="AH103" s="1769"/>
      <c r="AI103" s="1769"/>
      <c r="AJ103" s="1841" t="str">
        <f>IFERROR(IFERROR('Multi-Customer'!$ID$43,VLOOKUP($D103,'Required Info to Submit'!$E$23:$J$32,4,FALSE)),"")</f>
        <v/>
      </c>
      <c r="AK103" s="1842"/>
      <c r="AL103" s="1842"/>
      <c r="AM103" s="1842"/>
      <c r="AN103" s="1842"/>
      <c r="AO103" s="1842"/>
      <c r="AP103" s="1842"/>
      <c r="AQ103" s="1842"/>
      <c r="AR103" s="1842"/>
      <c r="AS103" s="1842"/>
      <c r="AT103" s="1843"/>
      <c r="AU103" s="1713" t="str">
        <f>IFERROR(IFERROR('Multi-Customer'!$ID$44,VLOOKUP($D103,'Required Info to Submit'!$E$23:$J$32,5,FALSE)),"")</f>
        <v/>
      </c>
      <c r="AV103" s="1714"/>
      <c r="AW103" s="1714"/>
      <c r="AX103" s="1715"/>
      <c r="AY103" s="1760" t="str">
        <f>IFERROR(IFERROR('Multi-Customer'!$ID$45,VLOOKUP($D103,'Required Info to Submit'!$E$23:$J$32,6,FALSE)),"")</f>
        <v/>
      </c>
      <c r="AZ103" s="1761"/>
      <c r="BA103" s="1761"/>
      <c r="BB103" s="1761"/>
      <c r="BC103" s="1762"/>
      <c r="BF103" s="138"/>
    </row>
    <row r="104" spans="2:58" ht="15.75" thickBot="1" x14ac:dyDescent="0.3">
      <c r="B104" s="137"/>
      <c r="C104" s="558">
        <v>10</v>
      </c>
      <c r="D104" s="1837">
        <f>'Customer Inputs'!$B$15</f>
        <v>0</v>
      </c>
      <c r="E104" s="1837"/>
      <c r="F104" s="1837"/>
      <c r="G104" s="1837"/>
      <c r="H104" s="1837"/>
      <c r="I104" s="1837"/>
      <c r="J104" s="1837"/>
      <c r="K104" s="1836" t="str">
        <f>IFERROR(IFERROR('Multi-Customer'!$JA$39,VLOOKUP($D104,'Required Info to Submit'!$E$23:$J$32,2,FALSE)),"")</f>
        <v/>
      </c>
      <c r="L104" s="1836"/>
      <c r="M104" s="1836"/>
      <c r="N104" s="1836"/>
      <c r="O104" s="1836"/>
      <c r="P104" s="1836"/>
      <c r="Q104" s="1836"/>
      <c r="R104" s="1836"/>
      <c r="S104" s="1836"/>
      <c r="T104" s="1836"/>
      <c r="U104" s="1836" t="str">
        <f>IFERROR(IFERROR('Multi-Customer'!$JA$41&amp;" "&amp;'Multi-Customer'!$JA$42,VLOOKUP($D104,'Required Info to Submit'!$E$23:$J$32,3,FALSE)),"")</f>
        <v/>
      </c>
      <c r="V104" s="1836"/>
      <c r="W104" s="1836"/>
      <c r="X104" s="1836"/>
      <c r="Y104" s="1836"/>
      <c r="Z104" s="1836"/>
      <c r="AA104" s="1836"/>
      <c r="AB104" s="1836"/>
      <c r="AC104" s="1836"/>
      <c r="AD104" s="1836"/>
      <c r="AE104" s="1836"/>
      <c r="AF104" s="1836"/>
      <c r="AG104" s="1836"/>
      <c r="AH104" s="1836"/>
      <c r="AI104" s="1836"/>
      <c r="AJ104" s="1838" t="str">
        <f>IFERROR(IFERROR('Multi-Customer'!$JA$43,VLOOKUP($D104,'Required Info to Submit'!$E$23:$J$32,4,FALSE)),"")</f>
        <v/>
      </c>
      <c r="AK104" s="1839"/>
      <c r="AL104" s="1839"/>
      <c r="AM104" s="1839"/>
      <c r="AN104" s="1839"/>
      <c r="AO104" s="1839"/>
      <c r="AP104" s="1839"/>
      <c r="AQ104" s="1839"/>
      <c r="AR104" s="1839"/>
      <c r="AS104" s="1839"/>
      <c r="AT104" s="1840"/>
      <c r="AU104" s="1858" t="str">
        <f>IFERROR(IFERROR('Multi-Customer'!$JA$44,VLOOKUP($D104,'Required Info to Submit'!$E$23:$J$32,5,FALSE)),"")</f>
        <v/>
      </c>
      <c r="AV104" s="1859"/>
      <c r="AW104" s="1859"/>
      <c r="AX104" s="1860"/>
      <c r="AY104" s="1851" t="str">
        <f>IFERROR(IFERROR('Multi-Customer'!$JA$45,VLOOKUP($D104,'Required Info to Submit'!$E$23:$J$32,6,FALSE)),"")</f>
        <v/>
      </c>
      <c r="AZ104" s="1852"/>
      <c r="BA104" s="1852"/>
      <c r="BB104" s="1852"/>
      <c r="BC104" s="1853"/>
      <c r="BF104" s="138"/>
    </row>
    <row r="105" spans="2:58" x14ac:dyDescent="0.25">
      <c r="B105" s="137"/>
      <c r="BF105" s="138"/>
    </row>
    <row r="106" spans="2:58" x14ac:dyDescent="0.25">
      <c r="B106" s="137"/>
      <c r="BF106" s="138"/>
    </row>
    <row r="107" spans="2:58" ht="18.75" x14ac:dyDescent="0.3">
      <c r="B107" s="1814" t="s">
        <v>973</v>
      </c>
      <c r="C107" s="1815"/>
      <c r="D107" s="1815"/>
      <c r="E107" s="1815"/>
      <c r="F107" s="1815"/>
      <c r="G107" s="1815"/>
      <c r="H107" s="1815"/>
      <c r="I107" s="1815"/>
      <c r="J107" s="1815"/>
      <c r="K107" s="1815"/>
      <c r="L107" s="1815"/>
      <c r="M107" s="1815"/>
      <c r="N107" s="1815"/>
      <c r="O107" s="1815"/>
      <c r="P107" s="1815"/>
      <c r="Q107" s="1815"/>
      <c r="R107" s="1815"/>
      <c r="S107" s="1815"/>
      <c r="T107" s="1815"/>
      <c r="U107" s="1815"/>
      <c r="V107" s="1815"/>
      <c r="W107" s="1815"/>
      <c r="X107" s="1815"/>
      <c r="Y107" s="1815"/>
      <c r="Z107" s="1815"/>
      <c r="AA107" s="1815"/>
      <c r="AB107" s="1815"/>
      <c r="AC107" s="1815"/>
      <c r="AD107" s="1815"/>
      <c r="AE107" s="1815"/>
      <c r="AF107" s="1815"/>
      <c r="AG107" s="1815"/>
      <c r="AH107" s="1815"/>
      <c r="AI107" s="1815"/>
      <c r="AJ107" s="1815"/>
      <c r="AK107" s="1815"/>
      <c r="AL107" s="1815"/>
      <c r="AM107" s="1815"/>
      <c r="AN107" s="1815"/>
      <c r="AO107" s="1815"/>
      <c r="AP107" s="1815"/>
      <c r="AQ107" s="1815"/>
      <c r="AR107" s="1815"/>
      <c r="AS107" s="1815"/>
      <c r="AT107" s="1815"/>
      <c r="AU107" s="1815"/>
      <c r="AV107" s="1815"/>
      <c r="AW107" s="1815"/>
      <c r="AX107" s="1815"/>
      <c r="AY107" s="1815"/>
      <c r="AZ107" s="1815"/>
      <c r="BA107" s="1815"/>
      <c r="BB107" s="1815"/>
      <c r="BC107" s="1815"/>
      <c r="BD107" s="1815"/>
      <c r="BE107" s="1815"/>
      <c r="BF107" s="181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85" t="s">
        <v>974</v>
      </c>
      <c r="V109" s="1755"/>
      <c r="W109" s="1755"/>
      <c r="X109" s="1755"/>
      <c r="Y109" s="1755"/>
      <c r="Z109" s="1755" t="s">
        <v>967</v>
      </c>
      <c r="AA109" s="1755"/>
      <c r="AB109" s="1755"/>
      <c r="AC109" s="1755"/>
      <c r="AD109" s="1755"/>
      <c r="AE109" s="1755"/>
      <c r="AF109" s="1755" t="s">
        <v>968</v>
      </c>
      <c r="AG109" s="1755"/>
      <c r="AH109" s="1755"/>
      <c r="AI109" s="1755"/>
      <c r="AJ109" s="1755"/>
      <c r="AK109" s="1755"/>
      <c r="AL109" s="1755"/>
      <c r="AM109" s="1755" t="s">
        <v>971</v>
      </c>
      <c r="AN109" s="1755"/>
      <c r="AO109" s="1755"/>
      <c r="AP109" s="1755"/>
      <c r="AQ109" s="1755"/>
      <c r="AR109" s="1755"/>
      <c r="AS109" s="1756"/>
      <c r="AT109" s="242"/>
      <c r="AU109" s="242"/>
      <c r="AV109" s="242"/>
      <c r="AW109" s="242"/>
      <c r="AX109" s="242"/>
      <c r="AY109" s="242"/>
      <c r="AZ109" s="242"/>
      <c r="BA109" s="242"/>
      <c r="BB109" s="242"/>
      <c r="BC109" s="242"/>
      <c r="BD109" s="242"/>
      <c r="BE109" s="242"/>
      <c r="BF109" s="560"/>
    </row>
    <row r="110" spans="2:58" x14ac:dyDescent="0.25">
      <c r="B110" s="137"/>
      <c r="D110" s="1782" t="s">
        <v>99</v>
      </c>
      <c r="E110" s="1783"/>
      <c r="F110" s="1783"/>
      <c r="G110" s="1783"/>
      <c r="H110" s="1783"/>
      <c r="I110" s="1783"/>
      <c r="J110" s="1783"/>
      <c r="K110" s="1783"/>
      <c r="L110" s="1783"/>
      <c r="M110" s="1783"/>
      <c r="N110" s="1783"/>
      <c r="O110" s="1783"/>
      <c r="P110" s="1783"/>
      <c r="Q110" s="1783"/>
      <c r="R110" s="1783"/>
      <c r="S110" s="1783"/>
      <c r="T110" s="1784"/>
      <c r="U110" s="1772" t="str">
        <f>IF('PIM Model'!$B$10=0,"",'PIM Model'!$B$10)</f>
        <v/>
      </c>
      <c r="V110" s="1773"/>
      <c r="W110" s="1773"/>
      <c r="X110" s="1773"/>
      <c r="Y110" s="1773"/>
      <c r="Z110" s="1773" t="str">
        <f>'PIM Model'!$AF$10</f>
        <v/>
      </c>
      <c r="AA110" s="1773"/>
      <c r="AB110" s="1773"/>
      <c r="AC110" s="1773"/>
      <c r="AD110" s="1773"/>
      <c r="AE110" s="1773"/>
      <c r="AF110" s="1757" t="str">
        <f>'PIM Model'!$AG$10</f>
        <v/>
      </c>
      <c r="AG110" s="1758"/>
      <c r="AH110" s="1758"/>
      <c r="AI110" s="1758"/>
      <c r="AJ110" s="1758"/>
      <c r="AK110" s="1758"/>
      <c r="AL110" s="1765"/>
      <c r="AM110" s="1757" t="str">
        <f>'PIM Model'!$AH$10</f>
        <v/>
      </c>
      <c r="AN110" s="1758"/>
      <c r="AO110" s="1758"/>
      <c r="AP110" s="1758"/>
      <c r="AQ110" s="1758"/>
      <c r="AR110" s="1758"/>
      <c r="AS110" s="1759"/>
      <c r="BF110" s="138"/>
    </row>
    <row r="111" spans="2:58" x14ac:dyDescent="0.25">
      <c r="B111" s="137"/>
      <c r="D111" s="1768" t="s">
        <v>103</v>
      </c>
      <c r="E111" s="1769"/>
      <c r="F111" s="1769"/>
      <c r="G111" s="1769"/>
      <c r="H111" s="1769"/>
      <c r="I111" s="1769"/>
      <c r="J111" s="1769"/>
      <c r="K111" s="1769"/>
      <c r="L111" s="1769"/>
      <c r="M111" s="1769"/>
      <c r="N111" s="1769"/>
      <c r="O111" s="1769"/>
      <c r="P111" s="1769"/>
      <c r="Q111" s="1769"/>
      <c r="R111" s="1769"/>
      <c r="S111" s="1769"/>
      <c r="T111" s="1770"/>
      <c r="U111" s="1767" t="str">
        <f>IF('PIM Model'!$B$11=0,"",'PIM Model'!$B$11)</f>
        <v/>
      </c>
      <c r="V111" s="1712"/>
      <c r="W111" s="1712"/>
      <c r="X111" s="1712"/>
      <c r="Y111" s="1712"/>
      <c r="Z111" s="1712" t="str">
        <f>'PIM Model'!$AF$11</f>
        <v/>
      </c>
      <c r="AA111" s="1712"/>
      <c r="AB111" s="1712"/>
      <c r="AC111" s="1712"/>
      <c r="AD111" s="1712"/>
      <c r="AE111" s="1712"/>
      <c r="AF111" s="1760" t="str">
        <f>'PIM Model'!$AG$11</f>
        <v/>
      </c>
      <c r="AG111" s="1761"/>
      <c r="AH111" s="1761"/>
      <c r="AI111" s="1761"/>
      <c r="AJ111" s="1761"/>
      <c r="AK111" s="1761"/>
      <c r="AL111" s="1766"/>
      <c r="AM111" s="1760" t="str">
        <f>'PIM Model'!$AH$11</f>
        <v/>
      </c>
      <c r="AN111" s="1761"/>
      <c r="AO111" s="1761"/>
      <c r="AP111" s="1761"/>
      <c r="AQ111" s="1761"/>
      <c r="AR111" s="1761"/>
      <c r="AS111" s="1762"/>
      <c r="BF111" s="138"/>
    </row>
    <row r="112" spans="2:58" x14ac:dyDescent="0.25">
      <c r="B112" s="137"/>
      <c r="D112" s="1768" t="s">
        <v>1306</v>
      </c>
      <c r="E112" s="1769"/>
      <c r="F112" s="1769"/>
      <c r="G112" s="1769"/>
      <c r="H112" s="1769"/>
      <c r="I112" s="1769"/>
      <c r="J112" s="1769"/>
      <c r="K112" s="1769"/>
      <c r="L112" s="1769"/>
      <c r="M112" s="1769"/>
      <c r="N112" s="1769"/>
      <c r="O112" s="1769"/>
      <c r="P112" s="1769"/>
      <c r="Q112" s="1769"/>
      <c r="R112" s="1769"/>
      <c r="S112" s="1769"/>
      <c r="T112" s="1770"/>
      <c r="U112" s="1767" t="str">
        <f>IF('PIM Model'!$B$12=0,"",'PIM Model'!$B$12)</f>
        <v/>
      </c>
      <c r="V112" s="1712"/>
      <c r="W112" s="1712"/>
      <c r="X112" s="1712"/>
      <c r="Y112" s="1712"/>
      <c r="Z112" s="1712" t="str">
        <f>'PIM Model'!$AF$12</f>
        <v/>
      </c>
      <c r="AA112" s="1712"/>
      <c r="AB112" s="1712"/>
      <c r="AC112" s="1712"/>
      <c r="AD112" s="1712"/>
      <c r="AE112" s="1712"/>
      <c r="AF112" s="1760" t="str">
        <f>'PIM Model'!$AG$12</f>
        <v/>
      </c>
      <c r="AG112" s="1761"/>
      <c r="AH112" s="1761"/>
      <c r="AI112" s="1761"/>
      <c r="AJ112" s="1761"/>
      <c r="AK112" s="1761"/>
      <c r="AL112" s="1766"/>
      <c r="AM112" s="1760" t="str">
        <f>'PIM Model'!$AH$12</f>
        <v/>
      </c>
      <c r="AN112" s="1761"/>
      <c r="AO112" s="1761"/>
      <c r="AP112" s="1761"/>
      <c r="AQ112" s="1761"/>
      <c r="AR112" s="1761"/>
      <c r="AS112" s="1762"/>
      <c r="BF112" s="138"/>
    </row>
    <row r="113" spans="2:58" x14ac:dyDescent="0.25">
      <c r="B113" s="137"/>
      <c r="D113" s="1768" t="s">
        <v>102</v>
      </c>
      <c r="E113" s="1769"/>
      <c r="F113" s="1769"/>
      <c r="G113" s="1769"/>
      <c r="H113" s="1769"/>
      <c r="I113" s="1769"/>
      <c r="J113" s="1769"/>
      <c r="K113" s="1769"/>
      <c r="L113" s="1769"/>
      <c r="M113" s="1769"/>
      <c r="N113" s="1769"/>
      <c r="O113" s="1769"/>
      <c r="P113" s="1769"/>
      <c r="Q113" s="1769"/>
      <c r="R113" s="1769"/>
      <c r="S113" s="1769"/>
      <c r="T113" s="1770"/>
      <c r="U113" s="1767" t="str">
        <f>IF('PIM Model'!$B$13=0,"",'PIM Model'!$B$13)</f>
        <v/>
      </c>
      <c r="V113" s="1712"/>
      <c r="W113" s="1712"/>
      <c r="X113" s="1712"/>
      <c r="Y113" s="1712"/>
      <c r="Z113" s="1712" t="str">
        <f>'PIM Model'!$AF$13</f>
        <v/>
      </c>
      <c r="AA113" s="1712"/>
      <c r="AB113" s="1712"/>
      <c r="AC113" s="1712"/>
      <c r="AD113" s="1712"/>
      <c r="AE113" s="1712"/>
      <c r="AF113" s="1760" t="str">
        <f>'PIM Model'!$AG$13</f>
        <v/>
      </c>
      <c r="AG113" s="1761"/>
      <c r="AH113" s="1761"/>
      <c r="AI113" s="1761"/>
      <c r="AJ113" s="1761"/>
      <c r="AK113" s="1761"/>
      <c r="AL113" s="1766"/>
      <c r="AM113" s="1760" t="str">
        <f>'PIM Model'!$AH$13</f>
        <v/>
      </c>
      <c r="AN113" s="1761"/>
      <c r="AO113" s="1761"/>
      <c r="AP113" s="1761"/>
      <c r="AQ113" s="1761"/>
      <c r="AR113" s="1761"/>
      <c r="AS113" s="1762"/>
      <c r="BF113" s="138"/>
    </row>
    <row r="114" spans="2:58" x14ac:dyDescent="0.25">
      <c r="B114" s="137"/>
      <c r="D114" s="1768" t="s">
        <v>100</v>
      </c>
      <c r="E114" s="1769"/>
      <c r="F114" s="1769"/>
      <c r="G114" s="1769"/>
      <c r="H114" s="1769"/>
      <c r="I114" s="1769"/>
      <c r="J114" s="1769"/>
      <c r="K114" s="1769"/>
      <c r="L114" s="1769"/>
      <c r="M114" s="1769"/>
      <c r="N114" s="1769"/>
      <c r="O114" s="1769"/>
      <c r="P114" s="1769"/>
      <c r="Q114" s="1769"/>
      <c r="R114" s="1769"/>
      <c r="S114" s="1769"/>
      <c r="T114" s="1770"/>
      <c r="U114" s="1767" t="str">
        <f>IF('PIM Model'!$B$14=0,"",'PIM Model'!$B$14)</f>
        <v/>
      </c>
      <c r="V114" s="1712"/>
      <c r="W114" s="1712"/>
      <c r="X114" s="1712"/>
      <c r="Y114" s="1712"/>
      <c r="Z114" s="1712" t="str">
        <f>'PIM Model'!$AF$14</f>
        <v/>
      </c>
      <c r="AA114" s="1712"/>
      <c r="AB114" s="1712"/>
      <c r="AC114" s="1712"/>
      <c r="AD114" s="1712"/>
      <c r="AE114" s="1712"/>
      <c r="AF114" s="1760" t="str">
        <f>'PIM Model'!$AG$14</f>
        <v/>
      </c>
      <c r="AG114" s="1761"/>
      <c r="AH114" s="1761"/>
      <c r="AI114" s="1761"/>
      <c r="AJ114" s="1761"/>
      <c r="AK114" s="1761"/>
      <c r="AL114" s="1766"/>
      <c r="AM114" s="1760" t="str">
        <f>'PIM Model'!$AH$14</f>
        <v/>
      </c>
      <c r="AN114" s="1761"/>
      <c r="AO114" s="1761"/>
      <c r="AP114" s="1761"/>
      <c r="AQ114" s="1761"/>
      <c r="AR114" s="1761"/>
      <c r="AS114" s="1762"/>
      <c r="BF114" s="138"/>
    </row>
    <row r="115" spans="2:58" x14ac:dyDescent="0.25">
      <c r="B115" s="137"/>
      <c r="D115" s="1768" t="s">
        <v>104</v>
      </c>
      <c r="E115" s="1769"/>
      <c r="F115" s="1769"/>
      <c r="G115" s="1769"/>
      <c r="H115" s="1769"/>
      <c r="I115" s="1769"/>
      <c r="J115" s="1769"/>
      <c r="K115" s="1769"/>
      <c r="L115" s="1769"/>
      <c r="M115" s="1769"/>
      <c r="N115" s="1769"/>
      <c r="O115" s="1769"/>
      <c r="P115" s="1769"/>
      <c r="Q115" s="1769"/>
      <c r="R115" s="1769"/>
      <c r="S115" s="1769"/>
      <c r="T115" s="1770"/>
      <c r="U115" s="1767" t="str">
        <f>IF('PIM Model'!$B$15=0,"",'PIM Model'!$B$15)</f>
        <v/>
      </c>
      <c r="V115" s="1712"/>
      <c r="W115" s="1712"/>
      <c r="X115" s="1712"/>
      <c r="Y115" s="1712"/>
      <c r="Z115" s="1712" t="str">
        <f>'PIM Model'!$AF$15</f>
        <v/>
      </c>
      <c r="AA115" s="1712"/>
      <c r="AB115" s="1712"/>
      <c r="AC115" s="1712"/>
      <c r="AD115" s="1712"/>
      <c r="AE115" s="1712"/>
      <c r="AF115" s="1760" t="str">
        <f>'PIM Model'!$AG$15</f>
        <v/>
      </c>
      <c r="AG115" s="1761"/>
      <c r="AH115" s="1761"/>
      <c r="AI115" s="1761"/>
      <c r="AJ115" s="1761"/>
      <c r="AK115" s="1761"/>
      <c r="AL115" s="1766"/>
      <c r="AM115" s="1760" t="str">
        <f>'PIM Model'!$AH$15</f>
        <v/>
      </c>
      <c r="AN115" s="1761"/>
      <c r="AO115" s="1761"/>
      <c r="AP115" s="1761"/>
      <c r="AQ115" s="1761"/>
      <c r="AR115" s="1761"/>
      <c r="AS115" s="1762"/>
      <c r="BF115" s="138"/>
    </row>
    <row r="116" spans="2:58" x14ac:dyDescent="0.25">
      <c r="B116" s="137"/>
      <c r="D116" s="1768" t="s">
        <v>98</v>
      </c>
      <c r="E116" s="1769"/>
      <c r="F116" s="1769"/>
      <c r="G116" s="1769"/>
      <c r="H116" s="1769"/>
      <c r="I116" s="1769"/>
      <c r="J116" s="1769"/>
      <c r="K116" s="1769"/>
      <c r="L116" s="1769"/>
      <c r="M116" s="1769"/>
      <c r="N116" s="1769"/>
      <c r="O116" s="1769"/>
      <c r="P116" s="1769"/>
      <c r="Q116" s="1769"/>
      <c r="R116" s="1769"/>
      <c r="S116" s="1769"/>
      <c r="T116" s="1770"/>
      <c r="U116" s="1767" t="str">
        <f>IF('PIM Model'!$B$16=0,"",'PIM Model'!$B$16)</f>
        <v/>
      </c>
      <c r="V116" s="1712"/>
      <c r="W116" s="1712"/>
      <c r="X116" s="1712"/>
      <c r="Y116" s="1712"/>
      <c r="Z116" s="1712" t="str">
        <f>'PIM Model'!$AF$16</f>
        <v/>
      </c>
      <c r="AA116" s="1712"/>
      <c r="AB116" s="1712"/>
      <c r="AC116" s="1712"/>
      <c r="AD116" s="1712"/>
      <c r="AE116" s="1712"/>
      <c r="AF116" s="1760" t="str">
        <f>'PIM Model'!$AG$16</f>
        <v/>
      </c>
      <c r="AG116" s="1761"/>
      <c r="AH116" s="1761"/>
      <c r="AI116" s="1761"/>
      <c r="AJ116" s="1761"/>
      <c r="AK116" s="1761"/>
      <c r="AL116" s="1766"/>
      <c r="AM116" s="1760" t="str">
        <f>'PIM Model'!$AH$16</f>
        <v/>
      </c>
      <c r="AN116" s="1761"/>
      <c r="AO116" s="1761"/>
      <c r="AP116" s="1761"/>
      <c r="AQ116" s="1761"/>
      <c r="AR116" s="1761"/>
      <c r="AS116" s="1762"/>
      <c r="BF116" s="138"/>
    </row>
    <row r="117" spans="2:58" x14ac:dyDescent="0.25">
      <c r="B117" s="137"/>
      <c r="D117" s="1768" t="s">
        <v>95</v>
      </c>
      <c r="E117" s="1769"/>
      <c r="F117" s="1769"/>
      <c r="G117" s="1769"/>
      <c r="H117" s="1769"/>
      <c r="I117" s="1769"/>
      <c r="J117" s="1769"/>
      <c r="K117" s="1769"/>
      <c r="L117" s="1769"/>
      <c r="M117" s="1769"/>
      <c r="N117" s="1769"/>
      <c r="O117" s="1769"/>
      <c r="P117" s="1769"/>
      <c r="Q117" s="1769"/>
      <c r="R117" s="1769"/>
      <c r="S117" s="1769"/>
      <c r="T117" s="1770"/>
      <c r="U117" s="1767" t="str">
        <f>IF('PIM Model'!$B$17=0,"",'PIM Model'!$B$17)</f>
        <v/>
      </c>
      <c r="V117" s="1712"/>
      <c r="W117" s="1712"/>
      <c r="X117" s="1712"/>
      <c r="Y117" s="1712"/>
      <c r="Z117" s="1712" t="str">
        <f>'PIM Model'!$AF$17</f>
        <v/>
      </c>
      <c r="AA117" s="1712"/>
      <c r="AB117" s="1712"/>
      <c r="AC117" s="1712"/>
      <c r="AD117" s="1712"/>
      <c r="AE117" s="1712"/>
      <c r="AF117" s="1760" t="str">
        <f>'PIM Model'!$AG$17</f>
        <v/>
      </c>
      <c r="AG117" s="1761"/>
      <c r="AH117" s="1761"/>
      <c r="AI117" s="1761"/>
      <c r="AJ117" s="1761"/>
      <c r="AK117" s="1761"/>
      <c r="AL117" s="1766"/>
      <c r="AM117" s="1760" t="str">
        <f>'PIM Model'!$AH$17</f>
        <v/>
      </c>
      <c r="AN117" s="1761"/>
      <c r="AO117" s="1761"/>
      <c r="AP117" s="1761"/>
      <c r="AQ117" s="1761"/>
      <c r="AR117" s="1761"/>
      <c r="AS117" s="1762"/>
      <c r="BF117" s="138"/>
    </row>
    <row r="118" spans="2:58" x14ac:dyDescent="0.25">
      <c r="B118" s="137"/>
      <c r="D118" s="1768" t="s">
        <v>96</v>
      </c>
      <c r="E118" s="1769"/>
      <c r="F118" s="1769"/>
      <c r="G118" s="1769"/>
      <c r="H118" s="1769"/>
      <c r="I118" s="1769"/>
      <c r="J118" s="1769"/>
      <c r="K118" s="1769"/>
      <c r="L118" s="1769"/>
      <c r="M118" s="1769"/>
      <c r="N118" s="1769"/>
      <c r="O118" s="1769"/>
      <c r="P118" s="1769"/>
      <c r="Q118" s="1769"/>
      <c r="R118" s="1769"/>
      <c r="S118" s="1769"/>
      <c r="T118" s="1770"/>
      <c r="U118" s="1767" t="str">
        <f>IF('PIM Model'!$B$18=0,"",'PIM Model'!$B$18)</f>
        <v/>
      </c>
      <c r="V118" s="1712"/>
      <c r="W118" s="1712"/>
      <c r="X118" s="1712"/>
      <c r="Y118" s="1712"/>
      <c r="Z118" s="1712" t="str">
        <f>'PIM Model'!$AF$18</f>
        <v/>
      </c>
      <c r="AA118" s="1712"/>
      <c r="AB118" s="1712"/>
      <c r="AC118" s="1712"/>
      <c r="AD118" s="1712"/>
      <c r="AE118" s="1712"/>
      <c r="AF118" s="1760" t="str">
        <f>'PIM Model'!$AG$18</f>
        <v/>
      </c>
      <c r="AG118" s="1761"/>
      <c r="AH118" s="1761"/>
      <c r="AI118" s="1761"/>
      <c r="AJ118" s="1761"/>
      <c r="AK118" s="1761"/>
      <c r="AL118" s="1766"/>
      <c r="AM118" s="1760" t="str">
        <f>'PIM Model'!$AH$18</f>
        <v/>
      </c>
      <c r="AN118" s="1761"/>
      <c r="AO118" s="1761"/>
      <c r="AP118" s="1761"/>
      <c r="AQ118" s="1761"/>
      <c r="AR118" s="1761"/>
      <c r="AS118" s="1762"/>
      <c r="BF118" s="138"/>
    </row>
    <row r="119" spans="2:58" x14ac:dyDescent="0.25">
      <c r="B119" s="137"/>
      <c r="D119" s="1768" t="s">
        <v>101</v>
      </c>
      <c r="E119" s="1769"/>
      <c r="F119" s="1769"/>
      <c r="G119" s="1769"/>
      <c r="H119" s="1769"/>
      <c r="I119" s="1769"/>
      <c r="J119" s="1769"/>
      <c r="K119" s="1769"/>
      <c r="L119" s="1769"/>
      <c r="M119" s="1769"/>
      <c r="N119" s="1769"/>
      <c r="O119" s="1769"/>
      <c r="P119" s="1769"/>
      <c r="Q119" s="1769"/>
      <c r="R119" s="1769"/>
      <c r="S119" s="1769"/>
      <c r="T119" s="1770"/>
      <c r="U119" s="1767" t="str">
        <f>IF('PIM Model'!$B$19=0,"",'PIM Model'!$B$19)</f>
        <v/>
      </c>
      <c r="V119" s="1712"/>
      <c r="W119" s="1712"/>
      <c r="X119" s="1712"/>
      <c r="Y119" s="1712"/>
      <c r="Z119" s="1712" t="str">
        <f>'PIM Model'!$AF$19</f>
        <v/>
      </c>
      <c r="AA119" s="1712"/>
      <c r="AB119" s="1712"/>
      <c r="AC119" s="1712"/>
      <c r="AD119" s="1712"/>
      <c r="AE119" s="1712"/>
      <c r="AF119" s="1760" t="str">
        <f>'PIM Model'!$AG$19</f>
        <v/>
      </c>
      <c r="AG119" s="1761"/>
      <c r="AH119" s="1761"/>
      <c r="AI119" s="1761"/>
      <c r="AJ119" s="1761"/>
      <c r="AK119" s="1761"/>
      <c r="AL119" s="1766"/>
      <c r="AM119" s="1760" t="str">
        <f>'PIM Model'!$AH$19</f>
        <v/>
      </c>
      <c r="AN119" s="1761"/>
      <c r="AO119" s="1761"/>
      <c r="AP119" s="1761"/>
      <c r="AQ119" s="1761"/>
      <c r="AR119" s="1761"/>
      <c r="AS119" s="1762"/>
      <c r="BF119" s="138"/>
    </row>
    <row r="120" spans="2:58" x14ac:dyDescent="0.25">
      <c r="B120" s="137"/>
      <c r="D120" s="1768" t="s">
        <v>97</v>
      </c>
      <c r="E120" s="1769"/>
      <c r="F120" s="1769"/>
      <c r="G120" s="1769"/>
      <c r="H120" s="1769"/>
      <c r="I120" s="1769"/>
      <c r="J120" s="1769"/>
      <c r="K120" s="1769"/>
      <c r="L120" s="1769"/>
      <c r="M120" s="1769"/>
      <c r="N120" s="1769"/>
      <c r="O120" s="1769"/>
      <c r="P120" s="1769"/>
      <c r="Q120" s="1769"/>
      <c r="R120" s="1769"/>
      <c r="S120" s="1769"/>
      <c r="T120" s="1770"/>
      <c r="U120" s="1767" t="str">
        <f>IF('PIM Model'!$B$20=0,"",'PIM Model'!$B$20)</f>
        <v/>
      </c>
      <c r="V120" s="1712"/>
      <c r="W120" s="1712"/>
      <c r="X120" s="1712"/>
      <c r="Y120" s="1712"/>
      <c r="Z120" s="1712" t="str">
        <f>'PIM Model'!$AF$20</f>
        <v/>
      </c>
      <c r="AA120" s="1712"/>
      <c r="AB120" s="1712"/>
      <c r="AC120" s="1712"/>
      <c r="AD120" s="1712"/>
      <c r="AE120" s="1712"/>
      <c r="AF120" s="1760" t="str">
        <f>'PIM Model'!$AG$20</f>
        <v/>
      </c>
      <c r="AG120" s="1761"/>
      <c r="AH120" s="1761"/>
      <c r="AI120" s="1761"/>
      <c r="AJ120" s="1761"/>
      <c r="AK120" s="1761"/>
      <c r="AL120" s="1766"/>
      <c r="AM120" s="1760" t="str">
        <f>'PIM Model'!$AH$20</f>
        <v/>
      </c>
      <c r="AN120" s="1761"/>
      <c r="AO120" s="1761"/>
      <c r="AP120" s="1761"/>
      <c r="AQ120" s="1761"/>
      <c r="AR120" s="1761"/>
      <c r="AS120" s="1762"/>
      <c r="BF120" s="138"/>
    </row>
    <row r="121" spans="2:58" x14ac:dyDescent="0.25">
      <c r="B121" s="137"/>
      <c r="D121" s="1768" t="s">
        <v>93</v>
      </c>
      <c r="E121" s="1769"/>
      <c r="F121" s="1769"/>
      <c r="G121" s="1769"/>
      <c r="H121" s="1769"/>
      <c r="I121" s="1769"/>
      <c r="J121" s="1769"/>
      <c r="K121" s="1769"/>
      <c r="L121" s="1769"/>
      <c r="M121" s="1769"/>
      <c r="N121" s="1769"/>
      <c r="O121" s="1769"/>
      <c r="P121" s="1769"/>
      <c r="Q121" s="1769"/>
      <c r="R121" s="1769"/>
      <c r="S121" s="1769"/>
      <c r="T121" s="1770"/>
      <c r="U121" s="1767" t="str">
        <f>IF('PIM Model'!$B$21=0,"",'PIM Model'!$B$21)</f>
        <v/>
      </c>
      <c r="V121" s="1712"/>
      <c r="W121" s="1712"/>
      <c r="X121" s="1712"/>
      <c r="Y121" s="1712"/>
      <c r="Z121" s="1712" t="str">
        <f>'PIM Model'!$AF$21</f>
        <v/>
      </c>
      <c r="AA121" s="1712"/>
      <c r="AB121" s="1712"/>
      <c r="AC121" s="1712"/>
      <c r="AD121" s="1712"/>
      <c r="AE121" s="1712"/>
      <c r="AF121" s="1760" t="str">
        <f>'PIM Model'!$AG$21</f>
        <v/>
      </c>
      <c r="AG121" s="1761"/>
      <c r="AH121" s="1761"/>
      <c r="AI121" s="1761"/>
      <c r="AJ121" s="1761"/>
      <c r="AK121" s="1761"/>
      <c r="AL121" s="1766"/>
      <c r="AM121" s="1760" t="str">
        <f>'PIM Model'!$AH$21</f>
        <v/>
      </c>
      <c r="AN121" s="1761"/>
      <c r="AO121" s="1761"/>
      <c r="AP121" s="1761"/>
      <c r="AQ121" s="1761"/>
      <c r="AR121" s="1761"/>
      <c r="AS121" s="1762"/>
      <c r="BF121" s="138"/>
    </row>
    <row r="122" spans="2:58" x14ac:dyDescent="0.25">
      <c r="B122" s="137"/>
      <c r="D122" s="1768" t="s">
        <v>105</v>
      </c>
      <c r="E122" s="1769"/>
      <c r="F122" s="1769"/>
      <c r="G122" s="1769"/>
      <c r="H122" s="1769"/>
      <c r="I122" s="1769"/>
      <c r="J122" s="1769"/>
      <c r="K122" s="1769"/>
      <c r="L122" s="1769"/>
      <c r="M122" s="1769"/>
      <c r="N122" s="1769"/>
      <c r="O122" s="1769"/>
      <c r="P122" s="1769"/>
      <c r="Q122" s="1769"/>
      <c r="R122" s="1769"/>
      <c r="S122" s="1769"/>
      <c r="T122" s="1770"/>
      <c r="U122" s="1767" t="str">
        <f>IF('PIM Model'!$B$22=0,"",'PIM Model'!$B$22)</f>
        <v/>
      </c>
      <c r="V122" s="1712"/>
      <c r="W122" s="1712"/>
      <c r="X122" s="1712"/>
      <c r="Y122" s="1712"/>
      <c r="Z122" s="1712" t="str">
        <f>'PIM Model'!$AF$22</f>
        <v/>
      </c>
      <c r="AA122" s="1712"/>
      <c r="AB122" s="1712"/>
      <c r="AC122" s="1712"/>
      <c r="AD122" s="1712"/>
      <c r="AE122" s="1712"/>
      <c r="AF122" s="1760" t="str">
        <f>'PIM Model'!$AG$22</f>
        <v/>
      </c>
      <c r="AG122" s="1761"/>
      <c r="AH122" s="1761"/>
      <c r="AI122" s="1761"/>
      <c r="AJ122" s="1761"/>
      <c r="AK122" s="1761"/>
      <c r="AL122" s="1766"/>
      <c r="AM122" s="1760" t="str">
        <f>'PIM Model'!$AH$22</f>
        <v/>
      </c>
      <c r="AN122" s="1761"/>
      <c r="AO122" s="1761"/>
      <c r="AP122" s="1761"/>
      <c r="AQ122" s="1761"/>
      <c r="AR122" s="1761"/>
      <c r="AS122" s="1762"/>
      <c r="BF122" s="138"/>
    </row>
    <row r="123" spans="2:58" x14ac:dyDescent="0.25">
      <c r="B123" s="137"/>
      <c r="D123" s="1768" t="s">
        <v>92</v>
      </c>
      <c r="E123" s="1769"/>
      <c r="F123" s="1769"/>
      <c r="G123" s="1769"/>
      <c r="H123" s="1769"/>
      <c r="I123" s="1769"/>
      <c r="J123" s="1769"/>
      <c r="K123" s="1769"/>
      <c r="L123" s="1769"/>
      <c r="M123" s="1769"/>
      <c r="N123" s="1769"/>
      <c r="O123" s="1769"/>
      <c r="P123" s="1769"/>
      <c r="Q123" s="1769"/>
      <c r="R123" s="1769"/>
      <c r="S123" s="1769"/>
      <c r="T123" s="1770"/>
      <c r="U123" s="1767" t="str">
        <f>IF('PIM Model'!$B$23=0,"",'PIM Model'!$B$23)</f>
        <v/>
      </c>
      <c r="V123" s="1712"/>
      <c r="W123" s="1712"/>
      <c r="X123" s="1712"/>
      <c r="Y123" s="1712"/>
      <c r="Z123" s="1712" t="str">
        <f>'PIM Model'!$AF$23</f>
        <v/>
      </c>
      <c r="AA123" s="1712"/>
      <c r="AB123" s="1712"/>
      <c r="AC123" s="1712"/>
      <c r="AD123" s="1712"/>
      <c r="AE123" s="1712"/>
      <c r="AF123" s="1760" t="str">
        <f>'PIM Model'!$AG$23</f>
        <v/>
      </c>
      <c r="AG123" s="1761"/>
      <c r="AH123" s="1761"/>
      <c r="AI123" s="1761"/>
      <c r="AJ123" s="1761"/>
      <c r="AK123" s="1761"/>
      <c r="AL123" s="1766"/>
      <c r="AM123" s="1760" t="str">
        <f>'PIM Model'!$AH$23</f>
        <v/>
      </c>
      <c r="AN123" s="1761"/>
      <c r="AO123" s="1761"/>
      <c r="AP123" s="1761"/>
      <c r="AQ123" s="1761"/>
      <c r="AR123" s="1761"/>
      <c r="AS123" s="1762"/>
      <c r="BF123" s="138"/>
    </row>
    <row r="124" spans="2:58" x14ac:dyDescent="0.25">
      <c r="B124" s="137"/>
      <c r="D124" s="1768" t="s">
        <v>91</v>
      </c>
      <c r="E124" s="1769"/>
      <c r="F124" s="1769"/>
      <c r="G124" s="1769"/>
      <c r="H124" s="1769"/>
      <c r="I124" s="1769"/>
      <c r="J124" s="1769"/>
      <c r="K124" s="1769"/>
      <c r="L124" s="1769"/>
      <c r="M124" s="1769"/>
      <c r="N124" s="1769"/>
      <c r="O124" s="1769"/>
      <c r="P124" s="1769"/>
      <c r="Q124" s="1769"/>
      <c r="R124" s="1769"/>
      <c r="S124" s="1769"/>
      <c r="T124" s="1770"/>
      <c r="U124" s="1767" t="str">
        <f>IF('PIM Model'!$B$24=0,"",'PIM Model'!$B$24)</f>
        <v/>
      </c>
      <c r="V124" s="1712"/>
      <c r="W124" s="1712"/>
      <c r="X124" s="1712"/>
      <c r="Y124" s="1712"/>
      <c r="Z124" s="1712" t="str">
        <f>'PIM Model'!$AF$24</f>
        <v/>
      </c>
      <c r="AA124" s="1712"/>
      <c r="AB124" s="1712"/>
      <c r="AC124" s="1712"/>
      <c r="AD124" s="1712"/>
      <c r="AE124" s="1712"/>
      <c r="AF124" s="1760" t="str">
        <f>'PIM Model'!$AG$24</f>
        <v/>
      </c>
      <c r="AG124" s="1761"/>
      <c r="AH124" s="1761"/>
      <c r="AI124" s="1761"/>
      <c r="AJ124" s="1761"/>
      <c r="AK124" s="1761"/>
      <c r="AL124" s="1766"/>
      <c r="AM124" s="1760" t="str">
        <f>'PIM Model'!$AH$24</f>
        <v/>
      </c>
      <c r="AN124" s="1761"/>
      <c r="AO124" s="1761"/>
      <c r="AP124" s="1761"/>
      <c r="AQ124" s="1761"/>
      <c r="AR124" s="1761"/>
      <c r="AS124" s="1762"/>
      <c r="BF124" s="138"/>
    </row>
    <row r="125" spans="2:58" x14ac:dyDescent="0.25">
      <c r="B125" s="137"/>
      <c r="D125" s="1768" t="s">
        <v>90</v>
      </c>
      <c r="E125" s="1769"/>
      <c r="F125" s="1769"/>
      <c r="G125" s="1769"/>
      <c r="H125" s="1769"/>
      <c r="I125" s="1769"/>
      <c r="J125" s="1769"/>
      <c r="K125" s="1769"/>
      <c r="L125" s="1769"/>
      <c r="M125" s="1769"/>
      <c r="N125" s="1769"/>
      <c r="O125" s="1769"/>
      <c r="P125" s="1769"/>
      <c r="Q125" s="1769"/>
      <c r="R125" s="1769"/>
      <c r="S125" s="1769"/>
      <c r="T125" s="1770"/>
      <c r="U125" s="1767" t="str">
        <f>IF('PIM Model'!$B$25=0,"",'PIM Model'!$B$25)</f>
        <v/>
      </c>
      <c r="V125" s="1712"/>
      <c r="W125" s="1712"/>
      <c r="X125" s="1712"/>
      <c r="Y125" s="1712"/>
      <c r="Z125" s="1712" t="str">
        <f>'PIM Model'!$AF$25</f>
        <v/>
      </c>
      <c r="AA125" s="1712"/>
      <c r="AB125" s="1712"/>
      <c r="AC125" s="1712"/>
      <c r="AD125" s="1712"/>
      <c r="AE125" s="1712"/>
      <c r="AF125" s="1760" t="str">
        <f>'PIM Model'!$AG$25</f>
        <v/>
      </c>
      <c r="AG125" s="1761"/>
      <c r="AH125" s="1761"/>
      <c r="AI125" s="1761"/>
      <c r="AJ125" s="1761"/>
      <c r="AK125" s="1761"/>
      <c r="AL125" s="1766"/>
      <c r="AM125" s="1760" t="str">
        <f>'PIM Model'!$AH$25</f>
        <v/>
      </c>
      <c r="AN125" s="1761"/>
      <c r="AO125" s="1761"/>
      <c r="AP125" s="1761"/>
      <c r="AQ125" s="1761"/>
      <c r="AR125" s="1761"/>
      <c r="AS125" s="1762"/>
      <c r="BF125" s="138"/>
    </row>
    <row r="126" spans="2:58" x14ac:dyDescent="0.25">
      <c r="B126" s="137"/>
      <c r="D126" s="1768" t="s">
        <v>89</v>
      </c>
      <c r="E126" s="1769"/>
      <c r="F126" s="1769"/>
      <c r="G126" s="1769"/>
      <c r="H126" s="1769"/>
      <c r="I126" s="1769"/>
      <c r="J126" s="1769"/>
      <c r="K126" s="1769"/>
      <c r="L126" s="1769"/>
      <c r="M126" s="1769"/>
      <c r="N126" s="1769"/>
      <c r="O126" s="1769"/>
      <c r="P126" s="1769"/>
      <c r="Q126" s="1769"/>
      <c r="R126" s="1769"/>
      <c r="S126" s="1769"/>
      <c r="T126" s="1770"/>
      <c r="U126" s="1767" t="str">
        <f>IF('PIM Model'!$B$26=0,"",'PIM Model'!$B$26)</f>
        <v/>
      </c>
      <c r="V126" s="1712"/>
      <c r="W126" s="1712"/>
      <c r="X126" s="1712"/>
      <c r="Y126" s="1712"/>
      <c r="Z126" s="1712" t="str">
        <f>'PIM Model'!$AF$26</f>
        <v/>
      </c>
      <c r="AA126" s="1712"/>
      <c r="AB126" s="1712"/>
      <c r="AC126" s="1712"/>
      <c r="AD126" s="1712"/>
      <c r="AE126" s="1712"/>
      <c r="AF126" s="1760" t="str">
        <f>'PIM Model'!$AG$26</f>
        <v/>
      </c>
      <c r="AG126" s="1761"/>
      <c r="AH126" s="1761"/>
      <c r="AI126" s="1761"/>
      <c r="AJ126" s="1761"/>
      <c r="AK126" s="1761"/>
      <c r="AL126" s="1766"/>
      <c r="AM126" s="1760" t="str">
        <f>'PIM Model'!$AH$26</f>
        <v/>
      </c>
      <c r="AN126" s="1761"/>
      <c r="AO126" s="1761"/>
      <c r="AP126" s="1761"/>
      <c r="AQ126" s="1761"/>
      <c r="AR126" s="1761"/>
      <c r="AS126" s="1762"/>
      <c r="BF126" s="138"/>
    </row>
    <row r="127" spans="2:58" x14ac:dyDescent="0.25">
      <c r="B127" s="137"/>
      <c r="D127" s="1768" t="s">
        <v>94</v>
      </c>
      <c r="E127" s="1769"/>
      <c r="F127" s="1769"/>
      <c r="G127" s="1769"/>
      <c r="H127" s="1769"/>
      <c r="I127" s="1769"/>
      <c r="J127" s="1769"/>
      <c r="K127" s="1769"/>
      <c r="L127" s="1769"/>
      <c r="M127" s="1769"/>
      <c r="N127" s="1769"/>
      <c r="O127" s="1769"/>
      <c r="P127" s="1769"/>
      <c r="Q127" s="1769"/>
      <c r="R127" s="1769"/>
      <c r="S127" s="1769"/>
      <c r="T127" s="1770"/>
      <c r="U127" s="1767" t="str">
        <f>IF('PIM Model'!$B$27=0,"",'PIM Model'!$B$27)</f>
        <v/>
      </c>
      <c r="V127" s="1712"/>
      <c r="W127" s="1712"/>
      <c r="X127" s="1712"/>
      <c r="Y127" s="1712"/>
      <c r="Z127" s="1712" t="str">
        <f>'PIM Model'!$AF$27</f>
        <v/>
      </c>
      <c r="AA127" s="1712"/>
      <c r="AB127" s="1712"/>
      <c r="AC127" s="1712"/>
      <c r="AD127" s="1712"/>
      <c r="AE127" s="1712"/>
      <c r="AF127" s="1760" t="str">
        <f>'PIM Model'!$AG$27</f>
        <v/>
      </c>
      <c r="AG127" s="1761"/>
      <c r="AH127" s="1761"/>
      <c r="AI127" s="1761"/>
      <c r="AJ127" s="1761"/>
      <c r="AK127" s="1761"/>
      <c r="AL127" s="1766"/>
      <c r="AM127" s="1760" t="str">
        <f>'PIM Model'!$AH$27</f>
        <v/>
      </c>
      <c r="AN127" s="1761"/>
      <c r="AO127" s="1761"/>
      <c r="AP127" s="1761"/>
      <c r="AQ127" s="1761"/>
      <c r="AR127" s="1761"/>
      <c r="AS127" s="1762"/>
      <c r="BF127" s="138"/>
    </row>
    <row r="128" spans="2:58" x14ac:dyDescent="0.25">
      <c r="B128" s="137"/>
      <c r="D128" s="1768" t="s">
        <v>86</v>
      </c>
      <c r="E128" s="1769"/>
      <c r="F128" s="1769"/>
      <c r="G128" s="1769"/>
      <c r="H128" s="1769"/>
      <c r="I128" s="1769"/>
      <c r="J128" s="1769"/>
      <c r="K128" s="1769"/>
      <c r="L128" s="1769"/>
      <c r="M128" s="1769"/>
      <c r="N128" s="1769"/>
      <c r="O128" s="1769"/>
      <c r="P128" s="1769"/>
      <c r="Q128" s="1769"/>
      <c r="R128" s="1769"/>
      <c r="S128" s="1769"/>
      <c r="T128" s="1770"/>
      <c r="U128" s="1767" t="str">
        <f>IF('PIM Model'!$B$28=0,"",'PIM Model'!$B$28)</f>
        <v/>
      </c>
      <c r="V128" s="1712"/>
      <c r="W128" s="1712"/>
      <c r="X128" s="1712"/>
      <c r="Y128" s="1712"/>
      <c r="Z128" s="1712" t="str">
        <f>'PIM Model'!$AF$28</f>
        <v/>
      </c>
      <c r="AA128" s="1712"/>
      <c r="AB128" s="1712"/>
      <c r="AC128" s="1712"/>
      <c r="AD128" s="1712"/>
      <c r="AE128" s="1712"/>
      <c r="AF128" s="1760" t="str">
        <f>'PIM Model'!$AG$28</f>
        <v/>
      </c>
      <c r="AG128" s="1761"/>
      <c r="AH128" s="1761"/>
      <c r="AI128" s="1761"/>
      <c r="AJ128" s="1761"/>
      <c r="AK128" s="1761"/>
      <c r="AL128" s="1766"/>
      <c r="AM128" s="1760" t="str">
        <f>'PIM Model'!$AH$28</f>
        <v/>
      </c>
      <c r="AN128" s="1761"/>
      <c r="AO128" s="1761"/>
      <c r="AP128" s="1761"/>
      <c r="AQ128" s="1761"/>
      <c r="AR128" s="1761"/>
      <c r="AS128" s="1762"/>
      <c r="BF128" s="138"/>
    </row>
    <row r="129" spans="2:58" x14ac:dyDescent="0.25">
      <c r="B129" s="137"/>
      <c r="D129" s="1768" t="s">
        <v>88</v>
      </c>
      <c r="E129" s="1769"/>
      <c r="F129" s="1769"/>
      <c r="G129" s="1769"/>
      <c r="H129" s="1769"/>
      <c r="I129" s="1769"/>
      <c r="J129" s="1769"/>
      <c r="K129" s="1769"/>
      <c r="L129" s="1769"/>
      <c r="M129" s="1769"/>
      <c r="N129" s="1769"/>
      <c r="O129" s="1769"/>
      <c r="P129" s="1769"/>
      <c r="Q129" s="1769"/>
      <c r="R129" s="1769"/>
      <c r="S129" s="1769"/>
      <c r="T129" s="1770"/>
      <c r="U129" s="1767" t="str">
        <f>IF('PIM Model'!$B$29=0,"",'PIM Model'!$B$29)</f>
        <v/>
      </c>
      <c r="V129" s="1712"/>
      <c r="W129" s="1712"/>
      <c r="X129" s="1712"/>
      <c r="Y129" s="1712"/>
      <c r="Z129" s="1712" t="str">
        <f>'PIM Model'!$AF$29</f>
        <v/>
      </c>
      <c r="AA129" s="1712"/>
      <c r="AB129" s="1712"/>
      <c r="AC129" s="1712"/>
      <c r="AD129" s="1712"/>
      <c r="AE129" s="1712"/>
      <c r="AF129" s="1760" t="str">
        <f>'PIM Model'!$AG$29</f>
        <v/>
      </c>
      <c r="AG129" s="1761"/>
      <c r="AH129" s="1761"/>
      <c r="AI129" s="1761"/>
      <c r="AJ129" s="1761"/>
      <c r="AK129" s="1761"/>
      <c r="AL129" s="1766"/>
      <c r="AM129" s="1760" t="str">
        <f>'PIM Model'!$AH$29</f>
        <v/>
      </c>
      <c r="AN129" s="1761"/>
      <c r="AO129" s="1761"/>
      <c r="AP129" s="1761"/>
      <c r="AQ129" s="1761"/>
      <c r="AR129" s="1761"/>
      <c r="AS129" s="1762"/>
      <c r="BF129" s="138"/>
    </row>
    <row r="130" spans="2:58" ht="15.75" thickBot="1" x14ac:dyDescent="0.3">
      <c r="B130" s="137"/>
      <c r="D130" s="1774" t="s">
        <v>87</v>
      </c>
      <c r="E130" s="1775"/>
      <c r="F130" s="1775"/>
      <c r="G130" s="1775"/>
      <c r="H130" s="1775"/>
      <c r="I130" s="1775"/>
      <c r="J130" s="1775"/>
      <c r="K130" s="1775"/>
      <c r="L130" s="1775"/>
      <c r="M130" s="1775"/>
      <c r="N130" s="1775"/>
      <c r="O130" s="1775"/>
      <c r="P130" s="1775"/>
      <c r="Q130" s="1775"/>
      <c r="R130" s="1775"/>
      <c r="S130" s="1775"/>
      <c r="T130" s="1776"/>
      <c r="U130" s="1771" t="str">
        <f>IF('PIM Model'!$B$30=0,"",'PIM Model'!$B$30)</f>
        <v/>
      </c>
      <c r="V130" s="1764"/>
      <c r="W130" s="1764"/>
      <c r="X130" s="1764"/>
      <c r="Y130" s="1764"/>
      <c r="Z130" s="1764" t="str">
        <f>'PIM Model'!$AF$30</f>
        <v/>
      </c>
      <c r="AA130" s="1764"/>
      <c r="AB130" s="1764"/>
      <c r="AC130" s="1764"/>
      <c r="AD130" s="1764"/>
      <c r="AE130" s="1764"/>
      <c r="AF130" s="1752" t="str">
        <f>'PIM Model'!$AG$30</f>
        <v/>
      </c>
      <c r="AG130" s="1753"/>
      <c r="AH130" s="1753"/>
      <c r="AI130" s="1753"/>
      <c r="AJ130" s="1753"/>
      <c r="AK130" s="1753"/>
      <c r="AL130" s="1754"/>
      <c r="AM130" s="1752" t="str">
        <f>'PIM Model'!$AH$30</f>
        <v/>
      </c>
      <c r="AN130" s="1753"/>
      <c r="AO130" s="1753"/>
      <c r="AP130" s="1753"/>
      <c r="AQ130" s="1753"/>
      <c r="AR130" s="1753"/>
      <c r="AS130" s="1763"/>
      <c r="BF130" s="138"/>
    </row>
    <row r="131" spans="2:58" ht="16.5" thickTop="1" thickBot="1" x14ac:dyDescent="0.3">
      <c r="B131" s="137"/>
      <c r="D131" s="1743" t="s">
        <v>972</v>
      </c>
      <c r="E131" s="1744"/>
      <c r="F131" s="1744"/>
      <c r="G131" s="1744"/>
      <c r="H131" s="1744"/>
      <c r="I131" s="1744"/>
      <c r="J131" s="1744"/>
      <c r="K131" s="1744"/>
      <c r="L131" s="1744"/>
      <c r="M131" s="1744"/>
      <c r="N131" s="1744"/>
      <c r="O131" s="1744"/>
      <c r="P131" s="1744"/>
      <c r="Q131" s="1744"/>
      <c r="R131" s="1744"/>
      <c r="S131" s="1744"/>
      <c r="T131" s="1745"/>
      <c r="U131" s="1746">
        <f>COUNT($U$110:$Y$130)</f>
        <v>0</v>
      </c>
      <c r="V131" s="1747"/>
      <c r="W131" s="1747"/>
      <c r="X131" s="1747"/>
      <c r="Y131" s="1747"/>
      <c r="Z131" s="1744">
        <f>COUNTIF($Z$110:$AE$130,"ABOVE")+COUNTIF($Z$110:$AE$130,"BELOW")</f>
        <v>0</v>
      </c>
      <c r="AA131" s="1744"/>
      <c r="AB131" s="1744"/>
      <c r="AC131" s="1744"/>
      <c r="AD131" s="1744"/>
      <c r="AE131" s="1744"/>
      <c r="AF131" s="1748"/>
      <c r="AG131" s="1749"/>
      <c r="AH131" s="1749"/>
      <c r="AI131" s="1749"/>
      <c r="AJ131" s="1749"/>
      <c r="AK131" s="1749"/>
      <c r="AL131" s="1750"/>
      <c r="AM131" s="1748"/>
      <c r="AN131" s="1749"/>
      <c r="AO131" s="1749"/>
      <c r="AP131" s="1749"/>
      <c r="AQ131" s="1749"/>
      <c r="AR131" s="1749"/>
      <c r="AS131" s="175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63" t="s">
        <v>996</v>
      </c>
      <c r="C2" s="186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61" t="s">
        <v>825</v>
      </c>
      <c r="C6" s="186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61" t="s">
        <v>826</v>
      </c>
      <c r="C13" s="186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filterMode="1"/>
  <dimension ref="A1:Z2000"/>
  <sheetViews>
    <sheetView showGridLines="0" workbookViewId="0">
      <selection activeCell="A650" sqref="A65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customWidth="1"/>
    <col min="14" max="14" width="27.42578125" customWidth="1"/>
    <col min="19" max="19" width="32.140625" customWidth="1"/>
    <col min="21" max="21" width="28.7109375" customWidth="1"/>
    <col min="23" max="23" width="26.85546875" customWidth="1"/>
  </cols>
  <sheetData>
    <row r="1" spans="1:26" ht="18.75" x14ac:dyDescent="0.3">
      <c r="A1" s="1865" t="s">
        <v>1356</v>
      </c>
      <c r="B1" s="1865"/>
      <c r="C1" s="1865"/>
      <c r="D1" s="1865"/>
      <c r="E1" s="1865"/>
      <c r="F1" s="1865" t="s">
        <v>1357</v>
      </c>
      <c r="G1" s="1865"/>
      <c r="H1" s="1865"/>
      <c r="I1" s="1865" t="s">
        <v>1358</v>
      </c>
      <c r="J1" s="1865"/>
      <c r="K1" s="1865"/>
      <c r="L1" s="1865" t="s">
        <v>1359</v>
      </c>
      <c r="M1" s="1865"/>
      <c r="N1" s="1865"/>
      <c r="O1" s="134">
        <v>0</v>
      </c>
      <c r="P1" s="1159">
        <v>6</v>
      </c>
      <c r="Q1" s="1159" t="str">
        <f>IFERROR(SUBSTITUTE(ADDRESS(1,P1,4),"1",""),"")</f>
        <v>F</v>
      </c>
      <c r="R1" s="1480"/>
      <c r="S1" s="1477"/>
      <c r="T1" s="1477"/>
      <c r="U1" s="1477"/>
      <c r="V1" s="1477"/>
      <c r="W1" s="1477"/>
      <c r="X1" s="1477"/>
      <c r="Y1" s="1477"/>
      <c r="Z1" s="1477"/>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80"/>
      <c r="S2" s="1477"/>
      <c r="T2" s="1477"/>
      <c r="U2" s="1477"/>
      <c r="V2" s="1477"/>
      <c r="W2" s="1477"/>
      <c r="X2" s="1477"/>
      <c r="Y2" s="1477"/>
      <c r="Z2" s="1477"/>
    </row>
    <row r="3" spans="1:26" hidden="1"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7" t="str">
        <f>IF(J3&lt;&gt;"",A3,"")</f>
        <v/>
      </c>
      <c r="J3" s="1480"/>
      <c r="K3" s="1480" t="str">
        <f>IF(J3&lt;&gt;"",E3,"")</f>
        <v/>
      </c>
      <c r="L3" s="1480"/>
      <c r="M3" s="1480"/>
      <c r="N3" s="1480"/>
      <c r="O3" s="134"/>
      <c r="P3" s="1159">
        <v>0</v>
      </c>
      <c r="Q3" s="1159" t="str">
        <f>IFERROR(SUBSTITUTE(ADDRESS(1,P3,4),"1",""),"")</f>
        <v/>
      </c>
      <c r="R3" s="1477"/>
      <c r="S3" s="1477"/>
      <c r="T3" s="1477"/>
      <c r="U3" s="1477"/>
      <c r="V3" s="1477"/>
      <c r="W3" s="1477"/>
      <c r="X3" s="1477"/>
      <c r="Y3" s="1477"/>
      <c r="Z3" s="1477"/>
    </row>
    <row r="4" spans="1:26" hidden="1"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7" t="str">
        <f t="shared" ref="I4:I67" si="0">IF(J4&lt;&gt;"",A4,"")</f>
        <v/>
      </c>
      <c r="J4" s="1480" t="str">
        <f t="shared" ref="J4" si="1">IF(M4&lt;&gt;"",Q$1&amp;M4,"")</f>
        <v/>
      </c>
      <c r="K4" s="1480" t="str">
        <f t="shared" ref="K4:K67" si="2">IF(J4&lt;&gt;"",E4,"")</f>
        <v/>
      </c>
      <c r="L4" s="1480"/>
      <c r="M4" s="1480"/>
      <c r="N4" s="1480"/>
      <c r="O4" s="1477"/>
      <c r="P4" s="1159" cm="1">
        <f t="array" ref="P4">IFERROR(MATCH(2,1/(Audit!4:4="X")),IFERROR(MATCH(2,1/(Audit!2:2="Copied Agreement")),0))</f>
        <v>0</v>
      </c>
      <c r="Q4" s="1159" t="str">
        <f>IFERROR(SUBSTITUTE(ADDRESS(1,P4,4),"1",""),"")</f>
        <v/>
      </c>
      <c r="R4" s="1477"/>
      <c r="S4" s="1477"/>
      <c r="T4" s="1477"/>
      <c r="U4" s="1477"/>
      <c r="V4" s="1477"/>
      <c r="W4" s="1477"/>
      <c r="X4" s="1477"/>
      <c r="Y4" s="1477"/>
      <c r="Z4" s="1477"/>
    </row>
    <row r="5" spans="1:26" hidden="1"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80"/>
      <c r="K5" s="1480" t="str">
        <f t="shared" si="2"/>
        <v/>
      </c>
      <c r="L5" s="1480"/>
      <c r="M5" s="1480"/>
      <c r="N5" s="1480"/>
      <c r="O5" s="1477"/>
      <c r="P5" s="1477"/>
      <c r="Q5" s="1477"/>
      <c r="R5" s="1477"/>
      <c r="S5" s="1477"/>
      <c r="T5" s="1477"/>
      <c r="U5" s="1477"/>
      <c r="V5" s="1477"/>
      <c r="W5" s="1477"/>
      <c r="X5" s="1477"/>
      <c r="Y5" s="1477"/>
      <c r="Z5" s="1477"/>
    </row>
    <row r="6" spans="1:26" hidden="1"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80"/>
      <c r="K6" s="1480" t="str">
        <f t="shared" si="2"/>
        <v/>
      </c>
      <c r="L6" s="1480"/>
      <c r="M6" s="1480"/>
      <c r="N6" s="1480"/>
      <c r="O6" s="1477"/>
      <c r="P6" s="1477"/>
      <c r="Q6" s="1477"/>
      <c r="R6" s="1477"/>
      <c r="S6" s="1477"/>
      <c r="T6" s="1477"/>
      <c r="U6" s="1477"/>
      <c r="V6" s="1477"/>
      <c r="W6" s="1477"/>
      <c r="X6" s="1477"/>
      <c r="Y6" s="1477"/>
      <c r="Z6" s="1477"/>
    </row>
    <row r="7" spans="1:26" hidden="1"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80"/>
      <c r="K7" s="1480" t="str">
        <f t="shared" si="2"/>
        <v/>
      </c>
      <c r="L7" s="1480"/>
      <c r="M7" s="1480"/>
      <c r="N7" s="1480"/>
      <c r="O7" s="1477"/>
      <c r="P7" s="1477"/>
      <c r="Q7" s="1477"/>
      <c r="R7" s="1477"/>
      <c r="S7" s="1477"/>
      <c r="T7" s="1477"/>
      <c r="U7" s="1477"/>
      <c r="V7" s="1477"/>
      <c r="W7" s="1477"/>
      <c r="X7" s="1477"/>
      <c r="Y7" s="1477"/>
      <c r="Z7" s="1477"/>
    </row>
    <row r="8" spans="1:26" hidden="1"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80"/>
      <c r="K8" s="1480" t="str">
        <f t="shared" si="2"/>
        <v/>
      </c>
      <c r="L8" s="1480"/>
      <c r="M8" s="1480"/>
      <c r="N8" s="1480"/>
      <c r="O8" s="1477"/>
      <c r="P8" s="1477"/>
      <c r="Q8" s="1477"/>
      <c r="R8" s="1477"/>
      <c r="S8" s="1477"/>
      <c r="T8" s="1477"/>
      <c r="U8" s="1477"/>
      <c r="V8" s="1477"/>
      <c r="W8" s="1477"/>
      <c r="X8" s="1477"/>
      <c r="Y8" s="1477"/>
      <c r="Z8" s="1477"/>
    </row>
    <row r="9" spans="1:26" hidden="1"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80"/>
      <c r="K9" s="1480" t="str">
        <f t="shared" si="2"/>
        <v/>
      </c>
      <c r="L9" s="1480"/>
      <c r="M9" s="1480"/>
      <c r="N9" s="1480"/>
      <c r="O9" s="1477"/>
      <c r="P9" s="1477"/>
      <c r="Q9" s="1477"/>
      <c r="R9" s="1477"/>
      <c r="S9" s="1477"/>
      <c r="T9" s="1477"/>
      <c r="U9" s="1477"/>
      <c r="V9" s="1477"/>
      <c r="W9" s="1477"/>
      <c r="X9" s="1477"/>
      <c r="Y9" s="1477"/>
      <c r="Z9" s="1477"/>
    </row>
    <row r="10" spans="1:26" hidden="1"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80"/>
      <c r="K10" s="1480" t="str">
        <f t="shared" si="2"/>
        <v/>
      </c>
      <c r="L10" s="1480"/>
      <c r="M10" s="1480"/>
      <c r="N10" s="1480"/>
      <c r="O10" s="1477"/>
      <c r="P10" s="1477"/>
      <c r="Q10" s="1477"/>
      <c r="R10" s="1477"/>
      <c r="S10" s="1477"/>
      <c r="T10" s="1477"/>
      <c r="U10" s="1477"/>
      <c r="V10" s="1477"/>
      <c r="W10" s="1477"/>
      <c r="X10" s="1477"/>
      <c r="Y10" s="1477"/>
      <c r="Z10" s="1477"/>
    </row>
    <row r="11" spans="1:26" hidden="1"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80"/>
      <c r="K11" s="1480" t="str">
        <f t="shared" si="2"/>
        <v/>
      </c>
      <c r="L11" s="1480"/>
      <c r="M11" s="1480"/>
      <c r="N11" s="1480"/>
      <c r="O11" s="1477"/>
      <c r="P11" s="1477"/>
      <c r="Q11" s="1477"/>
      <c r="R11" s="1477"/>
      <c r="S11" s="1477"/>
      <c r="T11" s="1477"/>
      <c r="U11" s="1477"/>
      <c r="V11" s="1477"/>
      <c r="W11" s="1477"/>
      <c r="X11" s="1477"/>
      <c r="Y11" s="1477"/>
      <c r="Z11" s="1477"/>
    </row>
    <row r="12" spans="1:26" ht="30" hidden="1"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7" t="str">
        <f t="shared" si="0"/>
        <v>Minimum Percentage of Purchases to be Directed to USF</v>
      </c>
      <c r="J12" s="1480" t="str">
        <f t="shared" ref="J12:J62" si="3">IF(M12&lt;&gt;"",Q$1&amp;M12,"")</f>
        <v>F9</v>
      </c>
      <c r="K12" s="1480" t="str">
        <f t="shared" si="2"/>
        <v>Agreement Worksheet</v>
      </c>
      <c r="L12" s="867" t="s">
        <v>1224</v>
      </c>
      <c r="M12" s="1480">
        <v>9</v>
      </c>
      <c r="N12" s="1480"/>
      <c r="O12" s="1477"/>
      <c r="P12" s="1477"/>
      <c r="Q12" s="1477"/>
      <c r="R12" s="1477"/>
      <c r="S12" s="1477"/>
      <c r="T12" s="1477"/>
      <c r="U12" s="1477"/>
      <c r="V12" s="1477"/>
      <c r="W12" s="1477"/>
      <c r="X12" s="1477"/>
      <c r="Y12" s="1477"/>
      <c r="Z12" s="1477"/>
    </row>
    <row r="13" spans="1:26" hidden="1"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80" t="str">
        <f t="shared" si="3"/>
        <v/>
      </c>
      <c r="K13" s="1480" t="str">
        <f t="shared" si="2"/>
        <v/>
      </c>
      <c r="L13" s="1480"/>
      <c r="M13" s="1480"/>
      <c r="N13" s="1480"/>
      <c r="O13" s="1477"/>
      <c r="P13" s="1477"/>
      <c r="Q13" s="1477"/>
      <c r="R13" s="1477"/>
      <c r="S13" s="1477"/>
      <c r="T13" s="1477"/>
      <c r="U13" s="1477"/>
      <c r="V13" s="1477"/>
      <c r="W13" s="1477"/>
      <c r="X13" s="1477"/>
      <c r="Y13" s="1477"/>
      <c r="Z13" s="1477"/>
    </row>
    <row r="14" spans="1:26" hidden="1" x14ac:dyDescent="0.25">
      <c r="A14" s="122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7" t="str">
        <f t="shared" si="0"/>
        <v/>
      </c>
      <c r="J14" s="1480" t="str">
        <f t="shared" si="3"/>
        <v/>
      </c>
      <c r="K14" s="1480" t="str">
        <f t="shared" si="2"/>
        <v/>
      </c>
      <c r="L14" s="1480"/>
      <c r="M14" s="1480"/>
      <c r="N14" s="1480"/>
      <c r="O14" s="1477"/>
      <c r="P14" s="1477"/>
      <c r="Q14" s="1477"/>
      <c r="R14" s="1477"/>
      <c r="S14" s="1477"/>
      <c r="T14" s="1477"/>
      <c r="U14" s="1477"/>
      <c r="V14" s="1477"/>
      <c r="W14" s="1477"/>
      <c r="X14" s="1477"/>
      <c r="Y14" s="1477"/>
      <c r="Z14" s="1477"/>
    </row>
    <row r="15" spans="1:26" hidden="1" x14ac:dyDescent="0.25">
      <c r="A15" s="122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7" t="str">
        <f t="shared" si="0"/>
        <v/>
      </c>
      <c r="J15" s="1480" t="str">
        <f t="shared" si="3"/>
        <v/>
      </c>
      <c r="K15" s="1480" t="str">
        <f t="shared" si="2"/>
        <v/>
      </c>
      <c r="L15" s="1480"/>
      <c r="M15" s="1480"/>
      <c r="N15" s="1480"/>
      <c r="O15" s="1477"/>
      <c r="P15" s="1477"/>
      <c r="Q15" s="1477"/>
      <c r="R15" s="1477"/>
      <c r="S15" s="1477"/>
      <c r="T15" s="1477"/>
      <c r="U15" s="1477"/>
      <c r="V15" s="1477"/>
      <c r="W15" s="1477"/>
      <c r="X15" s="1477"/>
      <c r="Y15" s="1477"/>
      <c r="Z15" s="1477"/>
    </row>
    <row r="16" spans="1:26" hidden="1"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7" t="str">
        <f t="shared" si="0"/>
        <v/>
      </c>
      <c r="J16" s="1480"/>
      <c r="K16" s="1480" t="str">
        <f t="shared" si="2"/>
        <v/>
      </c>
      <c r="L16" s="1480"/>
      <c r="M16" s="1480"/>
      <c r="N16" s="1480"/>
      <c r="O16" s="1477"/>
      <c r="P16" s="1477"/>
      <c r="Q16" s="1477"/>
      <c r="R16" s="1477"/>
      <c r="S16" s="1477"/>
      <c r="T16" s="1477"/>
      <c r="U16" s="1477"/>
      <c r="V16" s="1477"/>
      <c r="W16" s="1477"/>
      <c r="X16" s="1477"/>
      <c r="Y16" s="1477"/>
      <c r="Z16" s="1477"/>
    </row>
    <row r="17" spans="1:26" hidden="1"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80" t="str">
        <f t="shared" si="3"/>
        <v/>
      </c>
      <c r="K17" s="1480" t="str">
        <f t="shared" si="2"/>
        <v/>
      </c>
      <c r="L17" s="1480"/>
      <c r="M17" s="1480"/>
      <c r="N17" s="1480"/>
      <c r="O17" s="1477"/>
      <c r="P17" s="1477"/>
      <c r="Q17" s="1477"/>
      <c r="R17" s="1477"/>
      <c r="S17" s="1477"/>
      <c r="T17" s="1477"/>
      <c r="U17" s="1477"/>
      <c r="V17" s="1477"/>
      <c r="W17" s="1477"/>
      <c r="X17" s="1477"/>
      <c r="Y17" s="1477"/>
      <c r="Z17" s="1477"/>
    </row>
    <row r="18" spans="1:26" ht="30" hidden="1"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7" t="str">
        <f t="shared" si="0"/>
        <v>Maximum Distance From USF DC to Shipping Locations (miles)</v>
      </c>
      <c r="J18" s="1480" t="str">
        <f t="shared" si="3"/>
        <v>F10</v>
      </c>
      <c r="K18" s="1480" t="str">
        <f t="shared" si="2"/>
        <v>Agreement Worksheet</v>
      </c>
      <c r="L18" s="867" t="s">
        <v>1225</v>
      </c>
      <c r="M18" s="1480">
        <v>10</v>
      </c>
      <c r="N18" s="1480"/>
      <c r="O18" s="1477"/>
      <c r="P18" s="1477"/>
      <c r="Q18" s="1477"/>
      <c r="R18" s="1477"/>
      <c r="S18" s="1477"/>
      <c r="T18" s="1477"/>
      <c r="U18" s="1477"/>
      <c r="V18" s="1477"/>
      <c r="W18" s="1477"/>
      <c r="X18" s="1477"/>
      <c r="Y18" s="1477"/>
      <c r="Z18" s="1477"/>
    </row>
    <row r="19" spans="1:26" hidden="1"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7" t="str">
        <f t="shared" si="0"/>
        <v/>
      </c>
      <c r="J19" s="1480" t="str">
        <f t="shared" si="3"/>
        <v/>
      </c>
      <c r="K19" s="1480" t="str">
        <f t="shared" si="2"/>
        <v/>
      </c>
      <c r="L19" s="1480"/>
      <c r="M19" s="1480"/>
      <c r="N19" s="1480"/>
      <c r="O19" s="1477"/>
      <c r="P19" s="1477"/>
      <c r="Q19" s="1477"/>
      <c r="R19" s="1477"/>
      <c r="S19" s="1477"/>
      <c r="T19" s="1477"/>
      <c r="U19" s="1477"/>
      <c r="V19" s="1477"/>
      <c r="W19" s="1477"/>
      <c r="X19" s="1477"/>
      <c r="Y19" s="1477"/>
      <c r="Z19" s="1477"/>
    </row>
    <row r="20" spans="1:26" hidden="1"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7" t="str">
        <f t="shared" si="0"/>
        <v/>
      </c>
      <c r="J20" s="1480" t="str">
        <f t="shared" si="3"/>
        <v/>
      </c>
      <c r="K20" s="1480" t="str">
        <f t="shared" si="2"/>
        <v/>
      </c>
      <c r="L20" s="1480"/>
      <c r="M20" s="1480"/>
      <c r="N20" s="1480"/>
      <c r="O20" s="1477"/>
      <c r="P20" s="1477"/>
      <c r="Q20" s="1477"/>
      <c r="R20" s="1477"/>
      <c r="S20" s="1477"/>
      <c r="T20" s="1477"/>
      <c r="U20" s="1477"/>
      <c r="V20" s="1477"/>
      <c r="W20" s="1477"/>
      <c r="X20" s="1477"/>
      <c r="Y20" s="1477"/>
      <c r="Z20" s="1477"/>
    </row>
    <row r="21" spans="1:26" hidden="1"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7" t="str">
        <f t="shared" si="0"/>
        <v>Split Case Surcharge Amount</v>
      </c>
      <c r="J21" s="1480" t="str">
        <f t="shared" si="3"/>
        <v>F13</v>
      </c>
      <c r="K21" s="1480" t="str">
        <f t="shared" si="2"/>
        <v>Agreement Worksheet</v>
      </c>
      <c r="L21" s="867" t="s">
        <v>1237</v>
      </c>
      <c r="M21" s="1480">
        <v>13</v>
      </c>
      <c r="N21" s="1480"/>
      <c r="O21" s="1477"/>
      <c r="P21" s="1477"/>
      <c r="Q21" s="1477"/>
      <c r="R21" s="1477"/>
      <c r="S21" s="1477"/>
      <c r="T21" s="1477"/>
      <c r="U21" s="1477"/>
      <c r="V21" s="1477"/>
      <c r="W21" s="1477"/>
      <c r="X21" s="1477"/>
      <c r="Y21" s="1477"/>
      <c r="Z21" s="1477"/>
    </row>
    <row r="22" spans="1:26" hidden="1"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7" t="str">
        <f t="shared" si="0"/>
        <v>Split Case Per</v>
      </c>
      <c r="J22" s="1480" t="str">
        <f t="shared" si="3"/>
        <v>F14</v>
      </c>
      <c r="K22" s="1480" t="str">
        <f t="shared" si="2"/>
        <v>Agreement Worksheet</v>
      </c>
      <c r="L22" s="867" t="s">
        <v>1238</v>
      </c>
      <c r="M22" s="1480">
        <v>14</v>
      </c>
      <c r="N22" s="1480"/>
      <c r="O22" s="1477"/>
      <c r="P22" s="1477"/>
      <c r="Q22" s="1477"/>
      <c r="R22" s="1477"/>
      <c r="S22" s="1477"/>
      <c r="T22" s="1477"/>
      <c r="U22" s="1477"/>
      <c r="V22" s="1477"/>
      <c r="W22" s="1477"/>
      <c r="X22" s="1477"/>
      <c r="Y22" s="1477"/>
      <c r="Z22" s="1477"/>
    </row>
    <row r="23" spans="1:26" hidden="1"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7" t="str">
        <f t="shared" si="0"/>
        <v>Minimum per Case Markup</v>
      </c>
      <c r="J23" s="1480" t="str">
        <f t="shared" si="3"/>
        <v>F15</v>
      </c>
      <c r="K23" s="1480" t="str">
        <f t="shared" si="2"/>
        <v>Agreement Worksheet</v>
      </c>
      <c r="L23" s="867" t="s">
        <v>1386</v>
      </c>
      <c r="M23" s="1480">
        <v>15</v>
      </c>
      <c r="N23" s="1480"/>
      <c r="O23" s="1477"/>
      <c r="P23" s="1477"/>
      <c r="Q23" s="1477"/>
      <c r="R23" s="1477"/>
      <c r="S23" s="1477"/>
      <c r="T23" s="1477"/>
      <c r="U23" s="1477"/>
      <c r="V23" s="1477"/>
      <c r="W23" s="1477"/>
      <c r="X23" s="1477"/>
      <c r="Y23" s="1477"/>
      <c r="Z23" s="1477"/>
    </row>
    <row r="24" spans="1:26" hidden="1"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7" t="str">
        <f t="shared" si="0"/>
        <v>Special Order Product Surcharge Amount</v>
      </c>
      <c r="J24" s="1480" t="str">
        <f t="shared" si="3"/>
        <v>F16</v>
      </c>
      <c r="K24" s="1480" t="str">
        <f t="shared" si="2"/>
        <v>Agreement Worksheet</v>
      </c>
      <c r="L24" s="867" t="s">
        <v>1241</v>
      </c>
      <c r="M24" s="1480">
        <v>16</v>
      </c>
      <c r="N24" s="1480"/>
      <c r="O24" s="1477"/>
      <c r="P24" s="1477"/>
      <c r="Q24" s="1477"/>
      <c r="R24" s="1477"/>
      <c r="S24" s="1477"/>
      <c r="T24" s="1477"/>
      <c r="U24" s="1477"/>
      <c r="V24" s="1477"/>
      <c r="W24" s="1477"/>
      <c r="X24" s="1477"/>
      <c r="Y24" s="1477"/>
      <c r="Z24" s="1477"/>
    </row>
    <row r="25" spans="1:26" ht="30" hidden="1"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7" t="str">
        <f t="shared" si="0"/>
        <v>Special Order Products Surcharge Amount Type Code</v>
      </c>
      <c r="J25" s="1480" t="str">
        <f t="shared" si="3"/>
        <v>F17</v>
      </c>
      <c r="K25" s="1480" t="str">
        <f t="shared" si="2"/>
        <v>Agreement Worksheet</v>
      </c>
      <c r="L25" s="867" t="s">
        <v>1242</v>
      </c>
      <c r="M25" s="1480">
        <v>17</v>
      </c>
      <c r="N25" s="1480"/>
      <c r="O25" s="1477"/>
      <c r="P25" s="1477"/>
      <c r="Q25" s="1477"/>
      <c r="R25" s="1477"/>
      <c r="S25" s="1477"/>
      <c r="T25" s="1477"/>
      <c r="U25" s="1477"/>
      <c r="V25" s="1477"/>
      <c r="W25" s="1477"/>
      <c r="X25" s="1477"/>
      <c r="Y25" s="1477"/>
      <c r="Z25" s="1477"/>
    </row>
    <row r="26" spans="1:26" hidden="1"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7" t="str">
        <f t="shared" si="0"/>
        <v>Primary Form of Payment</v>
      </c>
      <c r="J26" s="1480" t="str">
        <f t="shared" si="3"/>
        <v>F11</v>
      </c>
      <c r="K26" s="1480" t="str">
        <f t="shared" si="2"/>
        <v>Agreement Worksheet</v>
      </c>
      <c r="L26" s="867" t="s">
        <v>1229</v>
      </c>
      <c r="M26" s="1480">
        <v>11</v>
      </c>
      <c r="N26" s="1480"/>
      <c r="O26" s="1477"/>
      <c r="P26" s="1477"/>
      <c r="Q26" s="1477"/>
      <c r="R26" s="1477"/>
      <c r="S26" s="1477"/>
      <c r="T26" s="1477"/>
      <c r="U26" s="1477"/>
      <c r="V26" s="1477"/>
      <c r="W26" s="1477"/>
      <c r="X26" s="1477"/>
      <c r="Y26" s="1477"/>
      <c r="Z26" s="1477"/>
    </row>
    <row r="27" spans="1:26" hidden="1"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7" t="str">
        <f t="shared" si="0"/>
        <v/>
      </c>
      <c r="J27" s="1480" t="str">
        <f t="shared" si="3"/>
        <v/>
      </c>
      <c r="K27" s="1480" t="str">
        <f t="shared" si="2"/>
        <v/>
      </c>
      <c r="L27" s="1480"/>
      <c r="M27" s="1480"/>
      <c r="N27" s="1480"/>
      <c r="O27" s="1477"/>
      <c r="P27" s="1477"/>
      <c r="Q27" s="1477"/>
      <c r="R27" s="1477"/>
      <c r="S27" s="1477"/>
      <c r="T27" s="1477"/>
      <c r="U27" s="1477"/>
      <c r="V27" s="1477"/>
      <c r="W27" s="1477"/>
      <c r="X27" s="1477"/>
      <c r="Y27" s="1477"/>
      <c r="Z27" s="1477"/>
    </row>
    <row r="28" spans="1:26" hidden="1"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80" t="str">
        <f t="shared" si="3"/>
        <v>F244</v>
      </c>
      <c r="K28" s="1480" t="str">
        <f t="shared" si="2"/>
        <v>Pricing Schedule</v>
      </c>
      <c r="L28" s="906" t="s">
        <v>1458</v>
      </c>
      <c r="M28" s="1480">
        <v>244</v>
      </c>
      <c r="N28" s="1480"/>
      <c r="O28" s="1477"/>
      <c r="P28" s="1477"/>
      <c r="Q28" s="1477"/>
      <c r="R28" s="1477"/>
      <c r="S28" s="1477"/>
      <c r="T28" s="1477"/>
      <c r="U28" s="1477"/>
      <c r="V28" s="1477"/>
      <c r="W28" s="1477"/>
      <c r="X28" s="1477"/>
      <c r="Y28" s="1477"/>
      <c r="Z28" s="1477"/>
    </row>
    <row r="29" spans="1:26" hidden="1"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80" t="str">
        <f t="shared" si="3"/>
        <v>F245</v>
      </c>
      <c r="K29" s="1480" t="str">
        <f t="shared" si="2"/>
        <v>Pricing Schedule</v>
      </c>
      <c r="L29" s="906" t="s">
        <v>1393</v>
      </c>
      <c r="M29" s="1480">
        <v>245</v>
      </c>
      <c r="N29" s="1480"/>
      <c r="O29" s="1477"/>
      <c r="P29" s="1477"/>
      <c r="Q29" s="1477"/>
      <c r="R29" s="1477"/>
      <c r="S29" s="1477"/>
      <c r="T29" s="1477"/>
      <c r="U29" s="1477"/>
      <c r="V29" s="1477"/>
      <c r="W29" s="1477"/>
      <c r="X29" s="1477"/>
      <c r="Y29" s="1477"/>
      <c r="Z29" s="1477"/>
    </row>
    <row r="30" spans="1:26" hidden="1"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80" t="str">
        <f t="shared" si="3"/>
        <v>F246</v>
      </c>
      <c r="K30" s="1480" t="str">
        <f t="shared" si="2"/>
        <v>Pricing Schedule</v>
      </c>
      <c r="L30" s="906" t="s">
        <v>1277</v>
      </c>
      <c r="M30" s="1480">
        <v>246</v>
      </c>
      <c r="N30" s="1480"/>
      <c r="O30" s="1477"/>
      <c r="P30" s="1477"/>
      <c r="Q30" s="1477"/>
      <c r="R30" s="1477"/>
      <c r="S30" s="1477"/>
      <c r="T30" s="1477"/>
      <c r="U30" s="1477"/>
      <c r="V30" s="1477"/>
      <c r="W30" s="1477"/>
      <c r="X30" s="1477"/>
      <c r="Y30" s="1477"/>
      <c r="Z30" s="1477"/>
    </row>
    <row r="31" spans="1:26" hidden="1"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80" t="str">
        <f t="shared" si="3"/>
        <v>F28</v>
      </c>
      <c r="K31" s="1480" t="str">
        <f t="shared" si="2"/>
        <v>Welcome</v>
      </c>
      <c r="L31" s="1480" t="s">
        <v>1442</v>
      </c>
      <c r="M31" s="1480">
        <v>28</v>
      </c>
      <c r="N31" s="1480"/>
      <c r="O31" s="1477"/>
      <c r="P31" s="1477"/>
      <c r="Q31" s="1477"/>
      <c r="R31" s="1477"/>
      <c r="S31" s="1477"/>
      <c r="T31" s="1477"/>
      <c r="U31" s="1477"/>
      <c r="V31" s="1477"/>
      <c r="W31" s="1477"/>
      <c r="X31" s="1477"/>
      <c r="Y31" s="1477"/>
      <c r="Z31" s="1477"/>
    </row>
    <row r="32" spans="1:26" hidden="1"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7" t="str">
        <f t="shared" si="0"/>
        <v/>
      </c>
      <c r="J32" s="1480" t="str">
        <f t="shared" si="3"/>
        <v/>
      </c>
      <c r="K32" s="1480" t="str">
        <f t="shared" si="2"/>
        <v/>
      </c>
      <c r="L32" s="1480"/>
      <c r="M32" s="1480"/>
      <c r="N32" s="1480"/>
      <c r="O32" s="1477"/>
      <c r="P32" s="1477"/>
      <c r="Q32" s="1477"/>
      <c r="R32" s="1477"/>
      <c r="S32" s="1477"/>
      <c r="T32" s="1477"/>
      <c r="U32" s="1477"/>
      <c r="V32" s="1477"/>
      <c r="W32" s="1477"/>
      <c r="X32" s="1477"/>
      <c r="Y32" s="1477"/>
      <c r="Z32" s="1477"/>
    </row>
    <row r="33" spans="1:26" ht="30" hidden="1" x14ac:dyDescent="0.25">
      <c r="A33" s="867" t="s">
        <v>265</v>
      </c>
      <c r="B33" s="867" t="str">
        <f t="shared" ca="1" si="4"/>
        <v>G29</v>
      </c>
      <c r="C33" s="867" t="str">
        <f t="shared" ca="1" si="5"/>
        <v>G30</v>
      </c>
      <c r="D33" s="867" t="s">
        <v>1365</v>
      </c>
      <c r="E33" s="867" t="s">
        <v>1389</v>
      </c>
      <c r="F33" s="867" t="s">
        <v>265</v>
      </c>
      <c r="G33" s="867" t="s">
        <v>1370</v>
      </c>
      <c r="H33" s="867" t="s">
        <v>1392</v>
      </c>
      <c r="I33" s="1427" t="str">
        <f t="shared" si="0"/>
        <v/>
      </c>
      <c r="J33" s="1480" t="str">
        <f t="shared" si="3"/>
        <v/>
      </c>
      <c r="K33" s="1480" t="str">
        <f t="shared" si="2"/>
        <v/>
      </c>
      <c r="L33" s="1480"/>
      <c r="M33" s="1480"/>
      <c r="N33" s="1480"/>
      <c r="O33" s="1477"/>
      <c r="P33" s="1477"/>
      <c r="Q33" s="1477"/>
      <c r="R33" s="1477"/>
      <c r="S33" s="1477"/>
      <c r="T33" s="1477"/>
      <c r="U33" s="1477"/>
      <c r="V33" s="1477"/>
      <c r="W33" s="1477"/>
      <c r="X33" s="1477"/>
      <c r="Y33" s="1477"/>
      <c r="Z33" s="1477"/>
    </row>
    <row r="34" spans="1:26" ht="30" hidden="1" x14ac:dyDescent="0.25">
      <c r="A34" s="867" t="s">
        <v>654</v>
      </c>
      <c r="B34" s="867" t="str">
        <f t="shared" ca="1" si="4"/>
        <v>D29</v>
      </c>
      <c r="C34" s="867" t="str">
        <f t="shared" ca="1" si="5"/>
        <v>D30</v>
      </c>
      <c r="D34" s="867" t="s">
        <v>1365</v>
      </c>
      <c r="E34" s="867" t="s">
        <v>1389</v>
      </c>
      <c r="F34" s="867" t="s">
        <v>654</v>
      </c>
      <c r="G34" s="867" t="s">
        <v>1385</v>
      </c>
      <c r="H34" s="867" t="s">
        <v>1392</v>
      </c>
      <c r="I34" s="1427" t="str">
        <f t="shared" si="0"/>
        <v>Dry</v>
      </c>
      <c r="J34" s="1480" t="str">
        <f t="shared" si="3"/>
        <v>F29</v>
      </c>
      <c r="K34" s="1480" t="str">
        <f t="shared" si="2"/>
        <v>Welcome</v>
      </c>
      <c r="L34" s="1480" t="s">
        <v>654</v>
      </c>
      <c r="M34" s="1480">
        <v>29</v>
      </c>
      <c r="N34" s="1480"/>
      <c r="O34" s="1477"/>
      <c r="P34" s="1477"/>
      <c r="Q34" s="1477"/>
      <c r="R34" s="1477"/>
      <c r="S34" s="1477"/>
      <c r="T34" s="1477"/>
      <c r="U34" s="1477"/>
      <c r="V34" s="1477"/>
      <c r="W34" s="1477"/>
      <c r="X34" s="1477"/>
      <c r="Y34" s="1477"/>
      <c r="Z34" s="1477"/>
    </row>
    <row r="35" spans="1:26" ht="30" hidden="1" x14ac:dyDescent="0.25">
      <c r="A35" s="867" t="s">
        <v>1168</v>
      </c>
      <c r="B35" s="867" t="str">
        <f t="shared" ca="1" si="4"/>
        <v>E29</v>
      </c>
      <c r="C35" s="867" t="str">
        <f t="shared" ca="1" si="5"/>
        <v>E30</v>
      </c>
      <c r="D35" s="867" t="s">
        <v>1365</v>
      </c>
      <c r="E35" s="867" t="s">
        <v>1389</v>
      </c>
      <c r="F35" s="867" t="s">
        <v>1168</v>
      </c>
      <c r="G35" s="867" t="s">
        <v>659</v>
      </c>
      <c r="H35" s="867" t="s">
        <v>1392</v>
      </c>
      <c r="I35" s="1427" t="str">
        <f t="shared" si="0"/>
        <v>Frozen</v>
      </c>
      <c r="J35" s="1480" t="str">
        <f t="shared" si="3"/>
        <v>F30</v>
      </c>
      <c r="K35" s="1480" t="str">
        <f t="shared" si="2"/>
        <v>Welcome</v>
      </c>
      <c r="L35" s="1480" t="s">
        <v>1168</v>
      </c>
      <c r="M35" s="1480">
        <v>30</v>
      </c>
      <c r="N35" s="1480"/>
      <c r="O35" s="1477"/>
      <c r="P35" s="1477"/>
      <c r="Q35" s="1477"/>
      <c r="R35" s="1477"/>
      <c r="S35" s="1477"/>
      <c r="T35" s="1477"/>
      <c r="U35" s="1477"/>
      <c r="V35" s="1477"/>
      <c r="W35" s="1477"/>
      <c r="X35" s="1477"/>
      <c r="Y35" s="1477"/>
      <c r="Z35" s="1477"/>
    </row>
    <row r="36" spans="1:26" ht="30" hidden="1" x14ac:dyDescent="0.25">
      <c r="A36" s="867" t="s">
        <v>1169</v>
      </c>
      <c r="B36" s="867" t="str">
        <f t="shared" ca="1" si="4"/>
        <v>F29</v>
      </c>
      <c r="C36" s="867" t="str">
        <f t="shared" ca="1" si="5"/>
        <v>F30</v>
      </c>
      <c r="D36" s="867" t="s">
        <v>1365</v>
      </c>
      <c r="E36" s="867" t="s">
        <v>1389</v>
      </c>
      <c r="F36" s="867" t="s">
        <v>1169</v>
      </c>
      <c r="G36" s="867" t="s">
        <v>1371</v>
      </c>
      <c r="H36" s="867" t="s">
        <v>1392</v>
      </c>
      <c r="I36" s="1427" t="str">
        <f t="shared" si="0"/>
        <v>Refrigerated</v>
      </c>
      <c r="J36" s="1480" t="str">
        <f t="shared" si="3"/>
        <v>F31</v>
      </c>
      <c r="K36" s="1480" t="str">
        <f t="shared" si="2"/>
        <v>Welcome</v>
      </c>
      <c r="L36" s="1480" t="s">
        <v>1169</v>
      </c>
      <c r="M36" s="1480">
        <v>31</v>
      </c>
      <c r="N36" s="1480"/>
      <c r="O36" s="1477"/>
      <c r="P36" s="1477"/>
      <c r="Q36" s="1477"/>
      <c r="R36" s="1477"/>
      <c r="S36" s="1477"/>
      <c r="T36" s="1477"/>
      <c r="U36" s="1477"/>
      <c r="V36" s="1477"/>
      <c r="W36" s="1477"/>
      <c r="X36" s="1477"/>
      <c r="Y36" s="1477"/>
      <c r="Z36" s="1477"/>
    </row>
    <row r="37" spans="1:26" ht="30" hidden="1" x14ac:dyDescent="0.25">
      <c r="A37" s="867" t="s">
        <v>1170</v>
      </c>
      <c r="B37" s="867" t="str">
        <f t="shared" ca="1" si="4"/>
        <v>H29</v>
      </c>
      <c r="C37" s="867" t="str">
        <f t="shared" ca="1" si="5"/>
        <v>H30</v>
      </c>
      <c r="D37" s="867" t="s">
        <v>1365</v>
      </c>
      <c r="E37" s="867" t="s">
        <v>1389</v>
      </c>
      <c r="F37" s="867" t="s">
        <v>1170</v>
      </c>
      <c r="G37" s="867" t="s">
        <v>1376</v>
      </c>
      <c r="H37" s="867" t="s">
        <v>1392</v>
      </c>
      <c r="I37" s="1427" t="str">
        <f t="shared" si="0"/>
        <v>Proprietary Inventory Turn</v>
      </c>
      <c r="J37" s="1480" t="str">
        <f t="shared" si="3"/>
        <v>F32</v>
      </c>
      <c r="K37" s="1480" t="str">
        <f t="shared" si="2"/>
        <v>Welcome</v>
      </c>
      <c r="L37" s="1480" t="s">
        <v>1170</v>
      </c>
      <c r="M37" s="1480">
        <v>32</v>
      </c>
      <c r="N37" s="1480"/>
      <c r="O37" s="1477"/>
      <c r="P37" s="1477"/>
      <c r="Q37" s="1477"/>
      <c r="R37" s="1477"/>
      <c r="S37" s="1477"/>
      <c r="T37" s="1477"/>
      <c r="U37" s="1477"/>
      <c r="V37" s="1477"/>
      <c r="W37" s="1477"/>
      <c r="X37" s="1477"/>
      <c r="Y37" s="1477"/>
      <c r="Z37" s="1477"/>
    </row>
    <row r="38" spans="1:26" hidden="1"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80" t="str">
        <f t="shared" si="3"/>
        <v>F5</v>
      </c>
      <c r="K38" s="1480" t="str">
        <f t="shared" si="2"/>
        <v>Welcome</v>
      </c>
      <c r="L38" s="1480" t="s">
        <v>1418</v>
      </c>
      <c r="M38" s="1480">
        <v>5</v>
      </c>
      <c r="N38" s="1480"/>
      <c r="O38" s="1477"/>
      <c r="P38" s="1477"/>
      <c r="Q38" s="1477"/>
      <c r="R38" s="1477"/>
      <c r="S38" s="1477"/>
      <c r="T38" s="1477"/>
      <c r="U38" s="1477"/>
      <c r="V38" s="1477"/>
      <c r="W38" s="1477"/>
      <c r="X38" s="1477"/>
      <c r="Y38" s="1477"/>
      <c r="Z38" s="1477"/>
    </row>
    <row r="39" spans="1:26" hidden="1"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80" t="str">
        <f t="shared" si="3"/>
        <v>F6</v>
      </c>
      <c r="K39" s="1480" t="str">
        <f t="shared" si="2"/>
        <v>Welcome</v>
      </c>
      <c r="L39" s="1480" t="s">
        <v>1419</v>
      </c>
      <c r="M39" s="1480">
        <v>6</v>
      </c>
      <c r="N39" s="1480"/>
      <c r="O39" s="1477"/>
      <c r="P39" s="1477"/>
      <c r="Q39" s="1477"/>
      <c r="R39" s="1477"/>
      <c r="S39" s="1477"/>
      <c r="T39" s="1477"/>
      <c r="U39" s="1477"/>
      <c r="V39" s="1477"/>
      <c r="W39" s="1477"/>
      <c r="X39" s="1477"/>
      <c r="Y39" s="1477"/>
      <c r="Z39" s="1477"/>
    </row>
    <row r="40" spans="1:26" hidden="1"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80" t="str">
        <f t="shared" si="3"/>
        <v>F26</v>
      </c>
      <c r="K40" s="1480" t="str">
        <f t="shared" si="2"/>
        <v>Welcome</v>
      </c>
      <c r="L40" s="1480" t="s">
        <v>1420</v>
      </c>
      <c r="M40" s="1480">
        <v>26</v>
      </c>
      <c r="N40" s="1480"/>
      <c r="O40" s="1477"/>
      <c r="P40" s="1477"/>
      <c r="Q40" s="1477"/>
      <c r="R40" s="1477"/>
      <c r="S40" s="1477"/>
      <c r="T40" s="1477"/>
      <c r="U40" s="1477"/>
      <c r="V40" s="1477"/>
      <c r="W40" s="1477"/>
      <c r="X40" s="1477"/>
      <c r="Y40" s="1477"/>
      <c r="Z40" s="1477"/>
    </row>
    <row r="41" spans="1:26" hidden="1"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80" t="str">
        <f t="shared" si="3"/>
        <v>F27</v>
      </c>
      <c r="K41" s="1480" t="str">
        <f t="shared" si="2"/>
        <v>Welcome</v>
      </c>
      <c r="L41" s="1480" t="s">
        <v>1421</v>
      </c>
      <c r="M41" s="1480">
        <v>27</v>
      </c>
      <c r="N41" s="1480"/>
      <c r="O41" s="1477"/>
      <c r="P41" s="1477"/>
      <c r="Q41" s="1477"/>
      <c r="R41" s="1477"/>
      <c r="S41" s="1477"/>
      <c r="T41" s="1477"/>
      <c r="U41" s="1477"/>
      <c r="V41" s="1477"/>
      <c r="W41" s="1477"/>
      <c r="X41" s="1477"/>
      <c r="Y41" s="1477"/>
      <c r="Z41" s="1477"/>
    </row>
    <row r="42" spans="1:26" hidden="1"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80" t="str">
        <f t="shared" si="3"/>
        <v>F33</v>
      </c>
      <c r="K42" s="1480" t="str">
        <f t="shared" si="2"/>
        <v>Welcome</v>
      </c>
      <c r="L42" s="1480" t="s">
        <v>1489</v>
      </c>
      <c r="M42" s="1480">
        <v>33</v>
      </c>
      <c r="N42" s="1480"/>
      <c r="O42" s="1477"/>
      <c r="P42" s="1477"/>
      <c r="Q42" s="1477"/>
      <c r="R42" s="1477"/>
      <c r="S42" s="1477"/>
      <c r="T42" s="1477"/>
      <c r="U42" s="1477"/>
      <c r="V42" s="1477"/>
      <c r="W42" s="1477"/>
      <c r="X42" s="1477"/>
      <c r="Y42" s="1477"/>
      <c r="Z42" s="1477"/>
    </row>
    <row r="43" spans="1:26" hidden="1"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80" t="str">
        <f>IF(AND(P1221="",M43&lt;&gt;""),Q$1&amp;M43,"")</f>
        <v>F35</v>
      </c>
      <c r="K43" s="1480" t="str">
        <f t="shared" si="2"/>
        <v>Customer Inputs</v>
      </c>
      <c r="L43" s="867" t="s">
        <v>1192</v>
      </c>
      <c r="M43" s="1480">
        <v>35</v>
      </c>
      <c r="N43" s="867"/>
      <c r="O43" s="1477"/>
      <c r="P43" s="1477"/>
      <c r="Q43" s="1477"/>
      <c r="R43" s="1477"/>
      <c r="S43" s="1477"/>
      <c r="T43" s="1477"/>
      <c r="U43" s="1477"/>
      <c r="V43" s="1477"/>
      <c r="W43" s="1477"/>
      <c r="X43" s="1477"/>
      <c r="Y43" s="1477"/>
      <c r="Z43" s="1477"/>
    </row>
    <row r="44" spans="1:26" hidden="1"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80" t="str">
        <f>Q$1&amp;IF(Q44&lt;&gt;"",M44,M46)</f>
        <v>F39</v>
      </c>
      <c r="K44" s="1480" t="str">
        <f t="shared" si="2"/>
        <v>Customer Inputs</v>
      </c>
      <c r="L44" s="52" t="s">
        <v>1272</v>
      </c>
      <c r="M44" s="1480">
        <v>37</v>
      </c>
      <c r="N44" s="867"/>
      <c r="O44" s="1477"/>
      <c r="P44" s="1477"/>
      <c r="Q44" s="1477"/>
      <c r="R44" s="1477"/>
      <c r="S44" s="1477"/>
      <c r="T44" s="1477"/>
      <c r="U44" s="1477"/>
      <c r="V44" s="1477"/>
      <c r="W44" s="1477"/>
      <c r="X44" s="1477"/>
      <c r="Y44" s="1477"/>
      <c r="Z44" s="1477"/>
    </row>
    <row r="45" spans="1:26" ht="30" hidden="1"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80" t="str">
        <f>Q$1&amp;IF(Q45&lt;&gt;"",M45,M47)</f>
        <v>F40</v>
      </c>
      <c r="K45" s="1480" t="str">
        <f t="shared" si="2"/>
        <v>Customer Inputs</v>
      </c>
      <c r="L45" s="867" t="s">
        <v>1273</v>
      </c>
      <c r="M45" s="1480">
        <v>38</v>
      </c>
      <c r="N45" s="867"/>
      <c r="O45" s="1477"/>
      <c r="P45" s="1477"/>
      <c r="Q45" s="1477"/>
      <c r="R45" s="1477"/>
      <c r="S45" s="1477"/>
      <c r="T45" s="1477"/>
      <c r="U45" s="1477"/>
      <c r="V45" s="1477"/>
      <c r="W45" s="1477"/>
      <c r="X45" s="1477"/>
      <c r="Y45" s="1477"/>
      <c r="Z45" s="1477"/>
    </row>
    <row r="46" spans="1:26" hidden="1"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80"/>
      <c r="K46" s="1480" t="str">
        <f t="shared" si="2"/>
        <v/>
      </c>
      <c r="L46" s="867" t="s">
        <v>1195</v>
      </c>
      <c r="M46" s="1480">
        <v>39</v>
      </c>
      <c r="N46" s="867"/>
      <c r="O46" s="1477" t="s">
        <v>874</v>
      </c>
      <c r="P46" s="1477"/>
      <c r="Q46" s="1477"/>
      <c r="R46" s="1477"/>
      <c r="S46" s="1477"/>
      <c r="T46" s="1477"/>
      <c r="U46" s="1477"/>
      <c r="V46" s="1477"/>
      <c r="W46" s="1477"/>
      <c r="X46" s="1477"/>
      <c r="Y46" s="1477"/>
      <c r="Z46" s="1477"/>
    </row>
    <row r="47" spans="1:26" hidden="1"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80"/>
      <c r="K47" s="1480" t="str">
        <f t="shared" si="2"/>
        <v/>
      </c>
      <c r="L47" s="905" t="s">
        <v>1196</v>
      </c>
      <c r="M47" s="1480">
        <v>40</v>
      </c>
      <c r="N47" s="867"/>
      <c r="O47" s="1477" t="s">
        <v>1193</v>
      </c>
      <c r="P47" s="1477"/>
      <c r="Q47" s="1477"/>
      <c r="R47" s="1477"/>
      <c r="S47" s="1477"/>
      <c r="T47" s="1477"/>
      <c r="U47" s="1477"/>
      <c r="V47" s="1477"/>
      <c r="W47" s="1477"/>
      <c r="X47" s="1477"/>
      <c r="Y47" s="1477"/>
      <c r="Z47" s="1477"/>
    </row>
    <row r="48" spans="1:26" hidden="1"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80"/>
      <c r="K48" s="1480" t="str">
        <f t="shared" si="2"/>
        <v/>
      </c>
      <c r="L48" s="905" t="s">
        <v>1197</v>
      </c>
      <c r="M48" s="1480">
        <v>41</v>
      </c>
      <c r="N48" s="867"/>
      <c r="O48" s="1477" t="s">
        <v>1200</v>
      </c>
      <c r="P48" s="1477"/>
      <c r="Q48" s="1477"/>
      <c r="R48" s="1477"/>
      <c r="S48" s="1477"/>
      <c r="T48" s="1477"/>
      <c r="U48" s="1477"/>
      <c r="V48" s="1477"/>
      <c r="W48" s="1477"/>
      <c r="X48" s="1477"/>
      <c r="Y48" s="1477"/>
      <c r="Z48" s="1477"/>
    </row>
    <row r="49" spans="1:26" hidden="1"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80"/>
      <c r="K49" s="1480" t="str">
        <f t="shared" si="2"/>
        <v/>
      </c>
      <c r="L49" s="905" t="s">
        <v>1198</v>
      </c>
      <c r="M49" s="1480">
        <v>42</v>
      </c>
      <c r="N49" s="867"/>
      <c r="O49" s="1477" t="s">
        <v>1194</v>
      </c>
      <c r="P49" s="1477"/>
      <c r="Q49" s="1477"/>
      <c r="R49" s="1477"/>
      <c r="S49" s="1477"/>
      <c r="T49" s="1477"/>
      <c r="U49" s="1477"/>
      <c r="V49" s="1477"/>
      <c r="W49" s="1477"/>
      <c r="X49" s="1477"/>
      <c r="Y49" s="1477"/>
      <c r="Z49" s="1477"/>
    </row>
    <row r="50" spans="1:26" hidden="1"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80"/>
      <c r="K50" s="1480" t="str">
        <f t="shared" si="2"/>
        <v/>
      </c>
      <c r="L50" s="905" t="s">
        <v>1199</v>
      </c>
      <c r="M50" s="1480">
        <v>43</v>
      </c>
      <c r="N50" s="867"/>
      <c r="O50" s="1477"/>
      <c r="P50" s="1477"/>
      <c r="Q50" s="1477"/>
      <c r="R50" s="1477"/>
      <c r="S50" s="1477"/>
      <c r="T50" s="1477"/>
      <c r="U50" s="1477"/>
      <c r="V50" s="1477"/>
      <c r="W50" s="1477"/>
      <c r="X50" s="1477"/>
      <c r="Y50" s="1477"/>
      <c r="Z50" s="1477"/>
    </row>
    <row r="51" spans="1:26" hidden="1"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80"/>
      <c r="K51" s="1480" t="str">
        <f t="shared" si="2"/>
        <v/>
      </c>
      <c r="L51" s="905" t="s">
        <v>1445</v>
      </c>
      <c r="M51" s="1480">
        <v>44</v>
      </c>
      <c r="N51" s="867"/>
      <c r="O51" s="1477"/>
      <c r="P51" s="1477"/>
      <c r="Q51" s="1477"/>
      <c r="R51" s="1477"/>
      <c r="S51" s="1477"/>
      <c r="T51" s="1477"/>
      <c r="U51" s="1477"/>
      <c r="V51" s="1477"/>
      <c r="W51" s="1477"/>
      <c r="X51" s="1477"/>
      <c r="Y51" s="1477"/>
      <c r="Z51" s="1477"/>
    </row>
    <row r="52" spans="1:26" hidden="1"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80" t="str">
        <f t="shared" si="3"/>
        <v>F45</v>
      </c>
      <c r="K52" s="1480" t="str">
        <f t="shared" si="2"/>
        <v>Customer Inputs</v>
      </c>
      <c r="L52" s="905" t="s">
        <v>1650</v>
      </c>
      <c r="M52" s="1480">
        <v>45</v>
      </c>
      <c r="N52" s="867"/>
      <c r="O52" s="1477"/>
      <c r="P52" s="1477"/>
      <c r="Q52" s="1477"/>
      <c r="R52" s="1477"/>
      <c r="S52" s="1477"/>
      <c r="T52" s="1477"/>
      <c r="U52" s="1477"/>
      <c r="V52" s="1477"/>
      <c r="W52" s="1477"/>
      <c r="X52" s="1477"/>
      <c r="Y52" s="1477"/>
      <c r="Z52" s="1477"/>
    </row>
    <row r="53" spans="1:26" hidden="1" x14ac:dyDescent="0.25">
      <c r="A53" s="920"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7" t="str">
        <f t="shared" si="0"/>
        <v>Pyramid Segment</v>
      </c>
      <c r="J53" s="1480" t="str">
        <f>IF(AND(P1222="",M53&lt;&gt;""),Q$1&amp;M53,"")</f>
        <v>F56</v>
      </c>
      <c r="K53" s="1480" t="str">
        <f t="shared" si="2"/>
        <v>Customer Inputs</v>
      </c>
      <c r="L53" s="867" t="s">
        <v>1192</v>
      </c>
      <c r="M53" s="1480">
        <v>56</v>
      </c>
      <c r="N53" s="867"/>
      <c r="O53" s="1477"/>
      <c r="P53" s="1477"/>
      <c r="Q53" s="1477"/>
      <c r="R53" s="1477"/>
      <c r="S53" s="1477"/>
      <c r="T53" s="1477"/>
      <c r="U53" s="1477"/>
      <c r="V53" s="1477"/>
      <c r="W53" s="1477"/>
      <c r="X53" s="1477"/>
      <c r="Y53" s="1477"/>
      <c r="Z53" s="1477"/>
    </row>
    <row r="54" spans="1:26" hidden="1" x14ac:dyDescent="0.25">
      <c r="A54" s="921" t="s">
        <v>1272</v>
      </c>
      <c r="B54" s="867" t="str">
        <f t="shared" ref="B54:B62" ca="1" si="7">_xlfn.IFNA(_xlfn.CONCAT(SUBSTITUTE(ADDRESS(1,MATCH(A54,INDIRECT("'"&amp;E54&amp;"'"&amp;"!A5:Z5"),0),4),1,""),7),"")</f>
        <v>I7</v>
      </c>
      <c r="C54" s="867" t="str">
        <f t="shared" ca="1" si="6"/>
        <v>I</v>
      </c>
      <c r="D54" s="867" t="s">
        <v>1372</v>
      </c>
      <c r="E54" s="867" t="s">
        <v>876</v>
      </c>
      <c r="F54" s="867"/>
      <c r="G54" s="867"/>
      <c r="H54" s="867"/>
      <c r="I54" s="1427" t="str">
        <f t="shared" si="0"/>
        <v>Agreement Annual Purchase Commitment</v>
      </c>
      <c r="J54" s="1480" t="str">
        <f>Q$1&amp;IF(Q54&lt;&gt;"",M54,M56)</f>
        <v>F60</v>
      </c>
      <c r="K54" s="1480" t="str">
        <f t="shared" si="2"/>
        <v>Customer Inputs</v>
      </c>
      <c r="L54" s="52" t="s">
        <v>1272</v>
      </c>
      <c r="M54" s="1480">
        <v>58</v>
      </c>
      <c r="N54" s="867"/>
      <c r="O54" s="1477"/>
      <c r="P54" s="1477"/>
      <c r="Q54" s="1477"/>
      <c r="R54" s="1477"/>
      <c r="S54" s="1477"/>
      <c r="T54" s="1477"/>
      <c r="U54" s="1477"/>
      <c r="V54" s="1477"/>
      <c r="W54" s="1477"/>
      <c r="X54" s="1477"/>
      <c r="Y54" s="1477"/>
      <c r="Z54" s="1477"/>
    </row>
    <row r="55" spans="1:26" ht="30" hidden="1" x14ac:dyDescent="0.25">
      <c r="A55" s="920" t="s">
        <v>1273</v>
      </c>
      <c r="B55" s="867" t="str">
        <f t="shared" ca="1" si="7"/>
        <v>J7</v>
      </c>
      <c r="C55" s="867" t="str">
        <f t="shared" ca="1" si="6"/>
        <v>J</v>
      </c>
      <c r="D55" s="867" t="s">
        <v>1372</v>
      </c>
      <c r="E55" s="867" t="s">
        <v>876</v>
      </c>
      <c r="F55" s="867"/>
      <c r="G55" s="867"/>
      <c r="H55" s="867"/>
      <c r="I55" s="1427" t="str">
        <f t="shared" si="0"/>
        <v>Agreement Deliveries Per Customer Unit Per Week</v>
      </c>
      <c r="J55" s="1480" t="str">
        <f>Q$1&amp;IF(Q55&lt;&gt;"",M55,M57)</f>
        <v>F61</v>
      </c>
      <c r="K55" s="1480" t="str">
        <f t="shared" si="2"/>
        <v>Customer Inputs</v>
      </c>
      <c r="L55" s="867" t="s">
        <v>1273</v>
      </c>
      <c r="M55" s="1480">
        <v>59</v>
      </c>
      <c r="N55" s="867"/>
      <c r="O55" s="1477"/>
      <c r="P55" s="1477"/>
      <c r="Q55" s="1477"/>
      <c r="R55" s="1477"/>
      <c r="S55" s="1477"/>
      <c r="T55" s="1477"/>
      <c r="U55" s="1477"/>
      <c r="V55" s="1477"/>
      <c r="W55" s="1477"/>
      <c r="X55" s="1477"/>
      <c r="Y55" s="1477"/>
      <c r="Z55" s="1477"/>
    </row>
    <row r="56" spans="1:26" hidden="1"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80"/>
      <c r="K56" s="1480" t="str">
        <f t="shared" si="2"/>
        <v/>
      </c>
      <c r="L56" s="867" t="s">
        <v>1195</v>
      </c>
      <c r="M56" s="1480">
        <v>60</v>
      </c>
      <c r="N56" s="867"/>
      <c r="O56" s="1477" t="s">
        <v>874</v>
      </c>
      <c r="P56" s="1477"/>
      <c r="Q56" s="1477"/>
      <c r="R56" s="1477"/>
      <c r="S56" s="1477"/>
      <c r="T56" s="1477"/>
      <c r="U56" s="1477"/>
      <c r="V56" s="1477"/>
      <c r="W56" s="1477"/>
      <c r="X56" s="1477"/>
      <c r="Y56" s="1477"/>
      <c r="Z56" s="1477"/>
    </row>
    <row r="57" spans="1:26" hidden="1"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80"/>
      <c r="K57" s="1480" t="str">
        <f t="shared" si="2"/>
        <v/>
      </c>
      <c r="L57" s="905" t="s">
        <v>1196</v>
      </c>
      <c r="M57" s="1480">
        <v>61</v>
      </c>
      <c r="N57" s="867"/>
      <c r="O57" s="1477" t="s">
        <v>1193</v>
      </c>
      <c r="P57" s="1477"/>
      <c r="Q57" s="1477"/>
      <c r="R57" s="1477"/>
      <c r="S57" s="1477"/>
      <c r="T57" s="1477"/>
      <c r="U57" s="1477"/>
      <c r="V57" s="1477"/>
      <c r="W57" s="1477"/>
      <c r="X57" s="1477"/>
      <c r="Y57" s="1477"/>
      <c r="Z57" s="1477"/>
    </row>
    <row r="58" spans="1:26" hidden="1"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80"/>
      <c r="K58" s="1480" t="str">
        <f t="shared" si="2"/>
        <v/>
      </c>
      <c r="L58" s="905" t="s">
        <v>1197</v>
      </c>
      <c r="M58" s="1480">
        <v>62</v>
      </c>
      <c r="N58" s="867"/>
      <c r="O58" s="1477" t="s">
        <v>1200</v>
      </c>
      <c r="P58" s="1477"/>
      <c r="Q58" s="1477"/>
      <c r="R58" s="1477"/>
      <c r="S58" s="1477"/>
      <c r="T58" s="1477"/>
      <c r="U58" s="1477"/>
      <c r="V58" s="1477"/>
      <c r="W58" s="1477"/>
      <c r="X58" s="1477"/>
      <c r="Y58" s="1477"/>
      <c r="Z58" s="1477"/>
    </row>
    <row r="59" spans="1:26" hidden="1"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80"/>
      <c r="K59" s="1480" t="str">
        <f t="shared" si="2"/>
        <v/>
      </c>
      <c r="L59" s="905" t="s">
        <v>1198</v>
      </c>
      <c r="M59" s="1480">
        <v>63</v>
      </c>
      <c r="N59" s="867"/>
      <c r="O59" s="1477" t="s">
        <v>1194</v>
      </c>
      <c r="P59" s="1477"/>
      <c r="Q59" s="1477"/>
      <c r="R59" s="1477"/>
      <c r="S59" s="1477"/>
      <c r="T59" s="1477"/>
      <c r="U59" s="1477"/>
      <c r="V59" s="1477"/>
      <c r="W59" s="1477"/>
      <c r="X59" s="1477"/>
      <c r="Y59" s="1477"/>
      <c r="Z59" s="1477"/>
    </row>
    <row r="60" spans="1:26" hidden="1" x14ac:dyDescent="0.25">
      <c r="A60" s="922" t="s">
        <v>1199</v>
      </c>
      <c r="B60" s="867" t="str">
        <f t="shared" ca="1" si="7"/>
        <v>U7</v>
      </c>
      <c r="C60" s="867" t="str">
        <f t="shared" ca="1" si="6"/>
        <v>U</v>
      </c>
      <c r="D60" s="867" t="s">
        <v>1372</v>
      </c>
      <c r="E60" s="867" t="s">
        <v>876</v>
      </c>
      <c r="F60" s="867"/>
      <c r="G60" s="867"/>
      <c r="H60" s="867"/>
      <c r="I60" s="1427" t="str">
        <f t="shared" si="0"/>
        <v/>
      </c>
      <c r="J60" s="1480"/>
      <c r="K60" s="1480" t="str">
        <f t="shared" si="2"/>
        <v/>
      </c>
      <c r="L60" s="905" t="s">
        <v>1199</v>
      </c>
      <c r="M60" s="1480">
        <v>64</v>
      </c>
      <c r="N60" s="867"/>
      <c r="O60" s="1477"/>
      <c r="P60" s="1477"/>
      <c r="Q60" s="1477"/>
      <c r="R60" s="1477"/>
      <c r="S60" s="1477"/>
      <c r="T60" s="1477"/>
      <c r="U60" s="1477"/>
      <c r="V60" s="1477"/>
      <c r="W60" s="1477"/>
      <c r="X60" s="1477"/>
      <c r="Y60" s="1477"/>
      <c r="Z60" s="1477"/>
    </row>
    <row r="61" spans="1:26" hidden="1" x14ac:dyDescent="0.25">
      <c r="A61" s="922" t="s">
        <v>1354</v>
      </c>
      <c r="B61" s="867" t="str">
        <f t="shared" ca="1" si="7"/>
        <v>V7</v>
      </c>
      <c r="C61" s="867" t="str">
        <f t="shared" ca="1" si="6"/>
        <v>V</v>
      </c>
      <c r="D61" s="867" t="s">
        <v>1372</v>
      </c>
      <c r="E61" s="867" t="s">
        <v>876</v>
      </c>
      <c r="F61" s="867"/>
      <c r="G61" s="867"/>
      <c r="H61" s="867"/>
      <c r="I61" s="1427" t="str">
        <f t="shared" si="0"/>
        <v/>
      </c>
      <c r="J61" s="1480"/>
      <c r="K61" s="1480" t="str">
        <f t="shared" si="2"/>
        <v/>
      </c>
      <c r="L61" s="905" t="s">
        <v>1445</v>
      </c>
      <c r="M61" s="1480">
        <v>65</v>
      </c>
      <c r="N61" s="867"/>
      <c r="O61" s="1477"/>
      <c r="P61" s="1477"/>
      <c r="Q61" s="1477"/>
      <c r="R61" s="1477"/>
      <c r="S61" s="1477"/>
      <c r="T61" s="1477"/>
      <c r="U61" s="1477"/>
      <c r="V61" s="1477"/>
      <c r="W61" s="1477"/>
      <c r="X61" s="1477"/>
      <c r="Y61" s="1477"/>
      <c r="Z61" s="1477"/>
    </row>
    <row r="62" spans="1:26" hidden="1" x14ac:dyDescent="0.25">
      <c r="A62" s="922" t="s">
        <v>1650</v>
      </c>
      <c r="B62" s="867" t="str">
        <f t="shared" ca="1" si="7"/>
        <v>W7</v>
      </c>
      <c r="C62" s="867" t="str">
        <f t="shared" ca="1" si="6"/>
        <v>W</v>
      </c>
      <c r="D62" s="867" t="s">
        <v>1372</v>
      </c>
      <c r="E62" s="867" t="s">
        <v>876</v>
      </c>
      <c r="F62" s="867"/>
      <c r="G62" s="867"/>
      <c r="H62" s="867"/>
      <c r="I62" s="1427" t="str">
        <f t="shared" si="0"/>
        <v>Add or End Customer</v>
      </c>
      <c r="J62" s="1480" t="str">
        <f t="shared" si="3"/>
        <v>F66</v>
      </c>
      <c r="K62" s="1480" t="str">
        <f t="shared" si="2"/>
        <v>Customer Inputs</v>
      </c>
      <c r="L62" s="905" t="s">
        <v>1650</v>
      </c>
      <c r="M62" s="1480">
        <v>66</v>
      </c>
      <c r="N62" s="867"/>
      <c r="O62" s="1477"/>
      <c r="P62" s="1477"/>
      <c r="Q62" s="1477"/>
      <c r="R62" s="1477"/>
      <c r="S62" s="1477"/>
      <c r="T62" s="1477"/>
      <c r="U62" s="1477"/>
      <c r="V62" s="1477"/>
      <c r="W62" s="1477"/>
      <c r="X62" s="1477"/>
      <c r="Y62" s="1477"/>
      <c r="Z62" s="1477"/>
    </row>
    <row r="63" spans="1:26" hidden="1" x14ac:dyDescent="0.25">
      <c r="A63" s="917" t="s">
        <v>1192</v>
      </c>
      <c r="B63" s="867" t="str">
        <f ca="1">_xlfn.IFNA(_xlfn.CONCAT(SUBSTITUTE(ADDRESS(1,MATCH(A63,INDIRECT("'"&amp;E63&amp;"'"&amp;"!A5:Z5"),0),4),1,""),8),"")</f>
        <v>H8</v>
      </c>
      <c r="C63" s="867" t="str">
        <f t="shared" ca="1" si="6"/>
        <v>H</v>
      </c>
      <c r="D63" s="867" t="s">
        <v>1372</v>
      </c>
      <c r="E63" s="867" t="s">
        <v>876</v>
      </c>
      <c r="F63" s="867"/>
      <c r="G63" s="867"/>
      <c r="H63" s="867"/>
      <c r="I63" s="1427" t="str">
        <f t="shared" si="0"/>
        <v>Pyramid Segment</v>
      </c>
      <c r="J63" s="1480" t="str">
        <f>IF(AND(P1223="",M63&lt;&gt;""),Q$1&amp;M63,"")</f>
        <v>F77</v>
      </c>
      <c r="K63" s="1480" t="str">
        <f t="shared" si="2"/>
        <v>Customer Inputs</v>
      </c>
      <c r="L63" s="867" t="s">
        <v>1192</v>
      </c>
      <c r="M63" s="1480">
        <v>77</v>
      </c>
      <c r="N63" s="867"/>
      <c r="O63" s="1477"/>
      <c r="P63" s="1477"/>
      <c r="Q63" s="1477"/>
      <c r="R63" s="1477"/>
      <c r="S63" s="1477"/>
      <c r="T63" s="1477"/>
      <c r="U63" s="1477"/>
      <c r="V63" s="1477"/>
      <c r="W63" s="1477"/>
      <c r="X63" s="1477"/>
      <c r="Y63" s="1477"/>
      <c r="Z63" s="1477"/>
    </row>
    <row r="64" spans="1:26" hidden="1" x14ac:dyDescent="0.25">
      <c r="A64" s="918" t="s">
        <v>1272</v>
      </c>
      <c r="B64" s="867" t="str">
        <f t="shared" ref="B64:B72" ca="1" si="8">_xlfn.IFNA(_xlfn.CONCAT(SUBSTITUTE(ADDRESS(1,MATCH(A64,INDIRECT("'"&amp;E64&amp;"'"&amp;"!A5:Z5"),0),4),1,""),8),"")</f>
        <v>I8</v>
      </c>
      <c r="C64" s="867" t="str">
        <f t="shared" ca="1" si="6"/>
        <v>I</v>
      </c>
      <c r="D64" s="867" t="s">
        <v>1372</v>
      </c>
      <c r="E64" s="867" t="s">
        <v>876</v>
      </c>
      <c r="F64" s="867"/>
      <c r="G64" s="867"/>
      <c r="H64" s="867"/>
      <c r="I64" s="1427" t="str">
        <f t="shared" si="0"/>
        <v>Agreement Annual Purchase Commitment</v>
      </c>
      <c r="J64" s="1480" t="str">
        <f>Q$1&amp;IF(Q64&lt;&gt;"",M64,M66)</f>
        <v>F81</v>
      </c>
      <c r="K64" s="1480" t="str">
        <f t="shared" si="2"/>
        <v>Customer Inputs</v>
      </c>
      <c r="L64" s="52" t="s">
        <v>1272</v>
      </c>
      <c r="M64" s="1480">
        <v>79</v>
      </c>
      <c r="N64" s="867"/>
      <c r="O64" s="1477"/>
      <c r="P64" s="1477"/>
      <c r="Q64" s="1477"/>
      <c r="R64" s="1477"/>
      <c r="S64" s="1477"/>
      <c r="T64" s="1477"/>
      <c r="U64" s="1477"/>
      <c r="V64" s="1477"/>
      <c r="W64" s="1477"/>
      <c r="X64" s="1477"/>
      <c r="Y64" s="1477"/>
      <c r="Z64" s="1477"/>
    </row>
    <row r="65" spans="1:26" ht="30" hidden="1" x14ac:dyDescent="0.25">
      <c r="A65" s="917" t="s">
        <v>1273</v>
      </c>
      <c r="B65" s="867" t="str">
        <f t="shared" ca="1" si="8"/>
        <v>J8</v>
      </c>
      <c r="C65" s="867" t="str">
        <f t="shared" ca="1" si="6"/>
        <v>J</v>
      </c>
      <c r="D65" s="867" t="s">
        <v>1372</v>
      </c>
      <c r="E65" s="867" t="s">
        <v>876</v>
      </c>
      <c r="F65" s="867"/>
      <c r="G65" s="867"/>
      <c r="H65" s="867"/>
      <c r="I65" s="1427" t="str">
        <f t="shared" si="0"/>
        <v>Agreement Deliveries Per Customer Unit Per Week</v>
      </c>
      <c r="J65" s="1480" t="str">
        <f>Q$1&amp;IF(Q65&lt;&gt;"",M65,M67)</f>
        <v>F82</v>
      </c>
      <c r="K65" s="1480" t="str">
        <f t="shared" si="2"/>
        <v>Customer Inputs</v>
      </c>
      <c r="L65" s="867" t="s">
        <v>1273</v>
      </c>
      <c r="M65" s="1480">
        <v>80</v>
      </c>
      <c r="N65" s="867"/>
      <c r="O65" s="1477"/>
      <c r="P65" s="1477"/>
      <c r="Q65" s="1477"/>
      <c r="R65" s="1477"/>
      <c r="S65" s="1477"/>
      <c r="T65" s="1477"/>
      <c r="U65" s="1477"/>
      <c r="V65" s="1477"/>
      <c r="W65" s="1477"/>
      <c r="X65" s="1477"/>
      <c r="Y65" s="1477"/>
      <c r="Z65" s="1477"/>
    </row>
    <row r="66" spans="1:26" hidden="1"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80"/>
      <c r="K66" s="1480" t="str">
        <f t="shared" si="2"/>
        <v/>
      </c>
      <c r="L66" s="867" t="s">
        <v>1195</v>
      </c>
      <c r="M66" s="1480">
        <v>81</v>
      </c>
      <c r="N66" s="867"/>
      <c r="O66" s="1477" t="s">
        <v>874</v>
      </c>
      <c r="P66" s="1477"/>
      <c r="Q66" s="1477"/>
      <c r="R66" s="1477"/>
      <c r="S66" s="1477"/>
      <c r="T66" s="1477"/>
      <c r="U66" s="1477"/>
      <c r="V66" s="1477"/>
      <c r="W66" s="1477"/>
      <c r="X66" s="1477"/>
      <c r="Y66" s="1477"/>
      <c r="Z66" s="1477"/>
    </row>
    <row r="67" spans="1:26" hidden="1"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80"/>
      <c r="K67" s="1480" t="str">
        <f t="shared" si="2"/>
        <v/>
      </c>
      <c r="L67" s="905" t="s">
        <v>1196</v>
      </c>
      <c r="M67" s="1480">
        <v>82</v>
      </c>
      <c r="N67" s="867"/>
      <c r="O67" s="1477" t="s">
        <v>1193</v>
      </c>
      <c r="P67" s="1477"/>
      <c r="Q67" s="1477"/>
      <c r="R67" s="1477"/>
      <c r="S67" s="1477"/>
      <c r="T67" s="1477"/>
      <c r="U67" s="1477"/>
      <c r="V67" s="1477"/>
      <c r="W67" s="1477"/>
      <c r="X67" s="1477"/>
      <c r="Y67" s="1477"/>
      <c r="Z67" s="1477"/>
    </row>
    <row r="68" spans="1:26" hidden="1"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9">IF(J68&lt;&gt;"",A68,"")</f>
        <v/>
      </c>
      <c r="J68" s="1480"/>
      <c r="K68" s="1480" t="str">
        <f t="shared" ref="K68:K131" si="10">IF(J68&lt;&gt;"",E68,"")</f>
        <v/>
      </c>
      <c r="L68" s="905" t="s">
        <v>1197</v>
      </c>
      <c r="M68" s="1480">
        <v>83</v>
      </c>
      <c r="N68" s="867"/>
      <c r="O68" s="1477" t="s">
        <v>1200</v>
      </c>
      <c r="P68" s="1477"/>
      <c r="Q68" s="1477"/>
      <c r="R68" s="1477"/>
      <c r="S68" s="1477"/>
      <c r="T68" s="1477"/>
      <c r="U68" s="1477"/>
      <c r="V68" s="1477"/>
      <c r="W68" s="1477"/>
      <c r="X68" s="1477"/>
      <c r="Y68" s="1477"/>
      <c r="Z68" s="1477"/>
    </row>
    <row r="69" spans="1:26" hidden="1"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9"/>
        <v/>
      </c>
      <c r="J69" s="1480"/>
      <c r="K69" s="1480" t="str">
        <f t="shared" si="10"/>
        <v/>
      </c>
      <c r="L69" s="905" t="s">
        <v>1198</v>
      </c>
      <c r="M69" s="1480">
        <v>84</v>
      </c>
      <c r="N69" s="867"/>
      <c r="O69" s="1477" t="s">
        <v>1194</v>
      </c>
      <c r="P69" s="1477"/>
      <c r="Q69" s="1477"/>
      <c r="R69" s="1477"/>
      <c r="S69" s="1477"/>
      <c r="T69" s="1477"/>
      <c r="U69" s="1477"/>
      <c r="V69" s="1477"/>
      <c r="W69" s="1477"/>
      <c r="X69" s="1477"/>
      <c r="Y69" s="1477"/>
      <c r="Z69" s="1477"/>
    </row>
    <row r="70" spans="1:26" hidden="1" x14ac:dyDescent="0.25">
      <c r="A70" s="919" t="s">
        <v>1199</v>
      </c>
      <c r="B70" s="867" t="str">
        <f t="shared" ca="1" si="8"/>
        <v>U8</v>
      </c>
      <c r="C70" s="867" t="str">
        <f t="shared" ca="1" si="6"/>
        <v>U</v>
      </c>
      <c r="D70" s="867" t="s">
        <v>1372</v>
      </c>
      <c r="E70" s="867" t="s">
        <v>876</v>
      </c>
      <c r="F70" s="867"/>
      <c r="G70" s="867"/>
      <c r="H70" s="867"/>
      <c r="I70" s="1427" t="str">
        <f t="shared" si="9"/>
        <v/>
      </c>
      <c r="J70" s="1480"/>
      <c r="K70" s="1480" t="str">
        <f t="shared" si="10"/>
        <v/>
      </c>
      <c r="L70" s="905" t="s">
        <v>1199</v>
      </c>
      <c r="M70" s="1480">
        <v>85</v>
      </c>
      <c r="N70" s="867"/>
      <c r="O70" s="1477"/>
      <c r="P70" s="1477"/>
      <c r="Q70" s="1477"/>
      <c r="R70" s="1477"/>
      <c r="S70" s="1477"/>
      <c r="T70" s="1477"/>
      <c r="U70" s="1477"/>
      <c r="V70" s="1477"/>
      <c r="W70" s="1477"/>
      <c r="X70" s="1477"/>
      <c r="Y70" s="1477"/>
      <c r="Z70" s="1477"/>
    </row>
    <row r="71" spans="1:26" hidden="1" x14ac:dyDescent="0.25">
      <c r="A71" s="919" t="s">
        <v>1354</v>
      </c>
      <c r="B71" s="867" t="str">
        <f t="shared" ca="1" si="8"/>
        <v>V8</v>
      </c>
      <c r="C71" s="867" t="str">
        <f t="shared" ca="1" si="6"/>
        <v>V</v>
      </c>
      <c r="D71" s="867" t="s">
        <v>1372</v>
      </c>
      <c r="E71" s="867" t="s">
        <v>876</v>
      </c>
      <c r="F71" s="867"/>
      <c r="G71" s="867"/>
      <c r="H71" s="867"/>
      <c r="I71" s="1427" t="str">
        <f t="shared" si="9"/>
        <v/>
      </c>
      <c r="J71" s="1480"/>
      <c r="K71" s="1480" t="str">
        <f t="shared" si="10"/>
        <v/>
      </c>
      <c r="L71" s="905" t="s">
        <v>1445</v>
      </c>
      <c r="M71" s="1480">
        <v>86</v>
      </c>
      <c r="N71" s="867"/>
      <c r="O71" s="1477"/>
      <c r="P71" s="1477"/>
      <c r="Q71" s="1477"/>
      <c r="R71" s="1477"/>
      <c r="S71" s="1477"/>
      <c r="T71" s="1477"/>
      <c r="U71" s="1477"/>
      <c r="V71" s="1477"/>
      <c r="W71" s="1477"/>
      <c r="X71" s="1477"/>
      <c r="Y71" s="1477"/>
      <c r="Z71" s="1477"/>
    </row>
    <row r="72" spans="1:26" hidden="1" x14ac:dyDescent="0.25">
      <c r="A72" s="919" t="s">
        <v>1650</v>
      </c>
      <c r="B72" s="867" t="str">
        <f t="shared" ca="1" si="8"/>
        <v>W8</v>
      </c>
      <c r="C72" s="867" t="str">
        <f t="shared" ca="1" si="6"/>
        <v>W</v>
      </c>
      <c r="D72" s="867" t="s">
        <v>1372</v>
      </c>
      <c r="E72" s="867" t="s">
        <v>876</v>
      </c>
      <c r="F72" s="867"/>
      <c r="G72" s="867"/>
      <c r="H72" s="867"/>
      <c r="I72" s="1427" t="str">
        <f t="shared" si="9"/>
        <v>Add or End Customer</v>
      </c>
      <c r="J72" s="1480" t="str">
        <f>IF(M72&lt;&gt;"",Q$1&amp;M72,"")</f>
        <v>F87</v>
      </c>
      <c r="K72" s="1480" t="str">
        <f t="shared" si="10"/>
        <v>Customer Inputs</v>
      </c>
      <c r="L72" s="905" t="s">
        <v>1650</v>
      </c>
      <c r="M72" s="1480">
        <v>87</v>
      </c>
      <c r="N72" s="867"/>
      <c r="O72" s="1477"/>
      <c r="P72" s="1477"/>
      <c r="Q72" s="1477"/>
      <c r="R72" s="1477"/>
      <c r="S72" s="1477"/>
      <c r="T72" s="1477"/>
      <c r="U72" s="1477"/>
      <c r="V72" s="1477"/>
      <c r="W72" s="1477"/>
      <c r="X72" s="1477"/>
      <c r="Y72" s="1477"/>
      <c r="Z72" s="1477"/>
    </row>
    <row r="73" spans="1:26" hidden="1" x14ac:dyDescent="0.25">
      <c r="A73" s="920" t="s">
        <v>1192</v>
      </c>
      <c r="B73" s="867" t="str">
        <f ca="1">_xlfn.IFNA(_xlfn.CONCAT(SUBSTITUTE(ADDRESS(1,MATCH(A73,INDIRECT("'"&amp;E73&amp;"'"&amp;"!A5:Z5"),0),4),1,""),9),"")</f>
        <v>H9</v>
      </c>
      <c r="C73" s="867" t="str">
        <f t="shared" ca="1" si="6"/>
        <v>H</v>
      </c>
      <c r="D73" s="867" t="s">
        <v>1372</v>
      </c>
      <c r="E73" s="867" t="s">
        <v>876</v>
      </c>
      <c r="F73" s="867"/>
      <c r="G73" s="867"/>
      <c r="H73" s="867"/>
      <c r="I73" s="1427" t="str">
        <f t="shared" si="9"/>
        <v>Pyramid Segment</v>
      </c>
      <c r="J73" s="1480" t="str">
        <f>IF(AND(P1224="",M73&lt;&gt;""),Q$1&amp;M73,"")</f>
        <v>F98</v>
      </c>
      <c r="K73" s="1480" t="str">
        <f t="shared" si="10"/>
        <v>Customer Inputs</v>
      </c>
      <c r="L73" s="867" t="s">
        <v>1192</v>
      </c>
      <c r="M73" s="1480">
        <v>98</v>
      </c>
      <c r="N73" s="867"/>
      <c r="O73" s="1477"/>
      <c r="P73" s="1477"/>
      <c r="Q73" s="1477"/>
      <c r="R73" s="1477"/>
      <c r="S73" s="1477"/>
      <c r="T73" s="1477"/>
      <c r="U73" s="1477"/>
      <c r="V73" s="1477"/>
      <c r="W73" s="1477"/>
      <c r="X73" s="1477"/>
      <c r="Y73" s="1477"/>
      <c r="Z73" s="1477"/>
    </row>
    <row r="74" spans="1:26" hidden="1" x14ac:dyDescent="0.25">
      <c r="A74" s="921" t="s">
        <v>1272</v>
      </c>
      <c r="B74" s="867" t="str">
        <f t="shared" ref="B74:B82" ca="1" si="11">_xlfn.IFNA(_xlfn.CONCAT(SUBSTITUTE(ADDRESS(1,MATCH(A74,INDIRECT("'"&amp;E74&amp;"'"&amp;"!A5:Z5"),0),4),1,""),9),"")</f>
        <v>I9</v>
      </c>
      <c r="C74" s="867" t="str">
        <f t="shared" ca="1" si="6"/>
        <v>I</v>
      </c>
      <c r="D74" s="867" t="s">
        <v>1372</v>
      </c>
      <c r="E74" s="867" t="s">
        <v>876</v>
      </c>
      <c r="F74" s="867"/>
      <c r="G74" s="867"/>
      <c r="H74" s="867"/>
      <c r="I74" s="1427" t="str">
        <f t="shared" si="9"/>
        <v>Agreement Annual Purchase Commitment</v>
      </c>
      <c r="J74" s="1480" t="str">
        <f>Q$1&amp;IF(Q74&lt;&gt;"",M74,M76)</f>
        <v>F102</v>
      </c>
      <c r="K74" s="1480" t="str">
        <f t="shared" si="10"/>
        <v>Customer Inputs</v>
      </c>
      <c r="L74" s="52" t="s">
        <v>1272</v>
      </c>
      <c r="M74" s="1480">
        <v>100</v>
      </c>
      <c r="N74" s="867"/>
      <c r="O74" s="1477"/>
      <c r="P74" s="1477"/>
      <c r="Q74" s="1477"/>
      <c r="R74" s="1477"/>
      <c r="S74" s="1477"/>
      <c r="T74" s="1477"/>
      <c r="U74" s="1477"/>
      <c r="V74" s="1477"/>
      <c r="W74" s="1477"/>
      <c r="X74" s="1477"/>
      <c r="Y74" s="1477"/>
      <c r="Z74" s="1477"/>
    </row>
    <row r="75" spans="1:26" ht="30" hidden="1" x14ac:dyDescent="0.25">
      <c r="A75" s="920" t="s">
        <v>1273</v>
      </c>
      <c r="B75" s="867" t="str">
        <f t="shared" ca="1" si="11"/>
        <v>J9</v>
      </c>
      <c r="C75" s="867" t="str">
        <f t="shared" ca="1" si="6"/>
        <v>J</v>
      </c>
      <c r="D75" s="867" t="s">
        <v>1372</v>
      </c>
      <c r="E75" s="867" t="s">
        <v>876</v>
      </c>
      <c r="F75" s="867"/>
      <c r="G75" s="867"/>
      <c r="H75" s="867"/>
      <c r="I75" s="1427" t="str">
        <f t="shared" si="9"/>
        <v>Agreement Deliveries Per Customer Unit Per Week</v>
      </c>
      <c r="J75" s="1480" t="str">
        <f>Q$1&amp;IF(Q75&lt;&gt;"",M75,M77)</f>
        <v>F103</v>
      </c>
      <c r="K75" s="1480" t="str">
        <f t="shared" si="10"/>
        <v>Customer Inputs</v>
      </c>
      <c r="L75" s="867" t="s">
        <v>1273</v>
      </c>
      <c r="M75" s="1480">
        <v>101</v>
      </c>
      <c r="N75" s="867"/>
      <c r="O75" s="1477"/>
      <c r="P75" s="1477"/>
      <c r="Q75" s="1477"/>
      <c r="R75" s="1477"/>
      <c r="S75" s="1477"/>
      <c r="T75" s="1477"/>
      <c r="U75" s="1477"/>
      <c r="V75" s="1477"/>
      <c r="W75" s="1477"/>
      <c r="X75" s="1477"/>
      <c r="Y75" s="1477"/>
      <c r="Z75" s="1477"/>
    </row>
    <row r="76" spans="1:26" hidden="1"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9"/>
        <v/>
      </c>
      <c r="J76" s="1480"/>
      <c r="K76" s="1480" t="str">
        <f t="shared" si="10"/>
        <v/>
      </c>
      <c r="L76" s="867" t="s">
        <v>1195</v>
      </c>
      <c r="M76" s="1480">
        <v>102</v>
      </c>
      <c r="N76" s="867"/>
      <c r="O76" s="1477" t="s">
        <v>874</v>
      </c>
      <c r="P76" s="1477"/>
      <c r="Q76" s="1477"/>
      <c r="R76" s="1477"/>
      <c r="S76" s="1477"/>
      <c r="T76" s="1477"/>
      <c r="U76" s="1477"/>
      <c r="V76" s="1477"/>
      <c r="W76" s="1477"/>
      <c r="X76" s="1477"/>
      <c r="Y76" s="1477"/>
      <c r="Z76" s="1477"/>
    </row>
    <row r="77" spans="1:26" hidden="1"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9"/>
        <v/>
      </c>
      <c r="J77" s="1480"/>
      <c r="K77" s="1480" t="str">
        <f t="shared" si="10"/>
        <v/>
      </c>
      <c r="L77" s="905" t="s">
        <v>1196</v>
      </c>
      <c r="M77" s="1480">
        <v>103</v>
      </c>
      <c r="N77" s="867"/>
      <c r="O77" s="1477" t="s">
        <v>1193</v>
      </c>
      <c r="P77" s="1477"/>
      <c r="Q77" s="1477"/>
      <c r="R77" s="1477"/>
      <c r="S77" s="1477"/>
      <c r="T77" s="1477"/>
      <c r="U77" s="1477"/>
      <c r="V77" s="1477"/>
      <c r="W77" s="1477"/>
      <c r="X77" s="1477"/>
      <c r="Y77" s="1477"/>
      <c r="Z77" s="1477"/>
    </row>
    <row r="78" spans="1:26" hidden="1"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9"/>
        <v/>
      </c>
      <c r="J78" s="1480"/>
      <c r="K78" s="1480" t="str">
        <f t="shared" si="10"/>
        <v/>
      </c>
      <c r="L78" s="905" t="s">
        <v>1197</v>
      </c>
      <c r="M78" s="1480">
        <v>104</v>
      </c>
      <c r="N78" s="867"/>
      <c r="O78" s="1477" t="s">
        <v>1200</v>
      </c>
      <c r="P78" s="1477"/>
      <c r="Q78" s="1477"/>
      <c r="R78" s="1477"/>
      <c r="S78" s="1477"/>
      <c r="T78" s="1477"/>
      <c r="U78" s="1477"/>
      <c r="V78" s="1477"/>
      <c r="W78" s="1477"/>
      <c r="X78" s="1477"/>
      <c r="Y78" s="1477"/>
      <c r="Z78" s="1477"/>
    </row>
    <row r="79" spans="1:26" hidden="1"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9"/>
        <v/>
      </c>
      <c r="J79" s="1480"/>
      <c r="K79" s="1480" t="str">
        <f t="shared" si="10"/>
        <v/>
      </c>
      <c r="L79" s="905" t="s">
        <v>1198</v>
      </c>
      <c r="M79" s="1480">
        <v>105</v>
      </c>
      <c r="N79" s="867"/>
      <c r="O79" s="1477" t="s">
        <v>1194</v>
      </c>
      <c r="P79" s="1477"/>
      <c r="Q79" s="1477"/>
      <c r="R79" s="1477"/>
      <c r="S79" s="1477"/>
      <c r="T79" s="1477"/>
      <c r="U79" s="1477"/>
      <c r="V79" s="1477"/>
      <c r="W79" s="1477"/>
      <c r="X79" s="1477"/>
      <c r="Y79" s="1477"/>
      <c r="Z79" s="1477"/>
    </row>
    <row r="80" spans="1:26" hidden="1" x14ac:dyDescent="0.25">
      <c r="A80" s="922" t="s">
        <v>1199</v>
      </c>
      <c r="B80" s="867" t="str">
        <f t="shared" ca="1" si="11"/>
        <v>U9</v>
      </c>
      <c r="C80" s="867" t="str">
        <f t="shared" ca="1" si="6"/>
        <v>U</v>
      </c>
      <c r="D80" s="867" t="s">
        <v>1372</v>
      </c>
      <c r="E80" s="867" t="s">
        <v>876</v>
      </c>
      <c r="F80" s="867"/>
      <c r="G80" s="867"/>
      <c r="H80" s="867"/>
      <c r="I80" s="1427" t="str">
        <f t="shared" si="9"/>
        <v/>
      </c>
      <c r="J80" s="1480"/>
      <c r="K80" s="1480" t="str">
        <f t="shared" si="10"/>
        <v/>
      </c>
      <c r="L80" s="905" t="s">
        <v>1199</v>
      </c>
      <c r="M80" s="1480">
        <v>106</v>
      </c>
      <c r="N80" s="867"/>
      <c r="O80" s="1477"/>
      <c r="P80" s="1477"/>
      <c r="Q80" s="1477"/>
      <c r="R80" s="1477"/>
      <c r="S80" s="1477"/>
      <c r="T80" s="1477"/>
      <c r="U80" s="1477"/>
      <c r="V80" s="1477"/>
      <c r="W80" s="1477"/>
      <c r="X80" s="1477"/>
      <c r="Y80" s="1477"/>
      <c r="Z80" s="1477"/>
    </row>
    <row r="81" spans="1:26" hidden="1" x14ac:dyDescent="0.25">
      <c r="A81" s="922" t="s">
        <v>1354</v>
      </c>
      <c r="B81" s="867" t="str">
        <f t="shared" ca="1" si="11"/>
        <v>V9</v>
      </c>
      <c r="C81" s="867" t="str">
        <f t="shared" ca="1" si="6"/>
        <v>V</v>
      </c>
      <c r="D81" s="867" t="s">
        <v>1372</v>
      </c>
      <c r="E81" s="867" t="s">
        <v>876</v>
      </c>
      <c r="F81" s="867"/>
      <c r="G81" s="867"/>
      <c r="H81" s="867"/>
      <c r="I81" s="1427" t="str">
        <f t="shared" si="9"/>
        <v/>
      </c>
      <c r="J81" s="1480"/>
      <c r="K81" s="1480" t="str">
        <f t="shared" si="10"/>
        <v/>
      </c>
      <c r="L81" s="905" t="s">
        <v>1445</v>
      </c>
      <c r="M81" s="1480">
        <v>107</v>
      </c>
      <c r="N81" s="867"/>
      <c r="O81" s="1477"/>
      <c r="P81" s="1477"/>
      <c r="Q81" s="1477"/>
      <c r="R81" s="1477"/>
      <c r="S81" s="1477"/>
      <c r="T81" s="1477"/>
      <c r="U81" s="1477"/>
      <c r="V81" s="1477"/>
      <c r="W81" s="1477"/>
      <c r="X81" s="1477"/>
      <c r="Y81" s="1477"/>
      <c r="Z81" s="1477"/>
    </row>
    <row r="82" spans="1:26" hidden="1" x14ac:dyDescent="0.25">
      <c r="A82" s="922" t="s">
        <v>1650</v>
      </c>
      <c r="B82" s="867" t="str">
        <f t="shared" ca="1" si="11"/>
        <v>W9</v>
      </c>
      <c r="C82" s="867" t="str">
        <f t="shared" ca="1" si="6"/>
        <v>W</v>
      </c>
      <c r="D82" s="867" t="s">
        <v>1372</v>
      </c>
      <c r="E82" s="867" t="s">
        <v>876</v>
      </c>
      <c r="F82" s="867"/>
      <c r="G82" s="867"/>
      <c r="H82" s="867"/>
      <c r="I82" s="1427" t="str">
        <f t="shared" si="9"/>
        <v>Add or End Customer</v>
      </c>
      <c r="J82" s="1480" t="str">
        <f>IF(M82&lt;&gt;"",Q$1&amp;M82,"")</f>
        <v>F108</v>
      </c>
      <c r="K82" s="1480" t="str">
        <f t="shared" si="10"/>
        <v>Customer Inputs</v>
      </c>
      <c r="L82" s="905" t="s">
        <v>1650</v>
      </c>
      <c r="M82" s="1480">
        <v>108</v>
      </c>
      <c r="N82" s="867"/>
      <c r="O82" s="1477"/>
      <c r="P82" s="1477"/>
      <c r="Q82" s="1477"/>
      <c r="R82" s="1477"/>
      <c r="S82" s="1477"/>
      <c r="T82" s="1477"/>
      <c r="U82" s="1477"/>
      <c r="V82" s="1477"/>
      <c r="W82" s="1477"/>
      <c r="X82" s="1477"/>
      <c r="Y82" s="1477"/>
      <c r="Z82" s="1477"/>
    </row>
    <row r="83" spans="1:26" hidden="1" x14ac:dyDescent="0.25">
      <c r="A83" s="917" t="s">
        <v>1192</v>
      </c>
      <c r="B83" s="867" t="str">
        <f ca="1">_xlfn.IFNA(_xlfn.CONCAT(SUBSTITUTE(ADDRESS(1,MATCH(A83,INDIRECT("'"&amp;E83&amp;"'"&amp;"!A5:Z5"),0),4),1,""),10),"")</f>
        <v>H10</v>
      </c>
      <c r="C83" s="867" t="str">
        <f t="shared" ca="1" si="6"/>
        <v>H</v>
      </c>
      <c r="D83" s="867" t="s">
        <v>1372</v>
      </c>
      <c r="E83" s="867" t="s">
        <v>876</v>
      </c>
      <c r="F83" s="867"/>
      <c r="G83" s="867"/>
      <c r="H83" s="867"/>
      <c r="I83" s="1427" t="str">
        <f t="shared" si="9"/>
        <v>Pyramid Segment</v>
      </c>
      <c r="J83" s="1480" t="str">
        <f>IF(AND(P1225="",M83&lt;&gt;""),Q$1&amp;M83,"")</f>
        <v>F119</v>
      </c>
      <c r="K83" s="1480" t="str">
        <f t="shared" si="10"/>
        <v>Customer Inputs</v>
      </c>
      <c r="L83" s="867" t="s">
        <v>1192</v>
      </c>
      <c r="M83" s="1480">
        <v>119</v>
      </c>
      <c r="N83" s="867"/>
      <c r="O83" s="1477"/>
      <c r="P83" s="1477"/>
      <c r="Q83" s="1477"/>
      <c r="R83" s="1477"/>
      <c r="S83" s="1477"/>
      <c r="T83" s="1477"/>
      <c r="U83" s="1477"/>
      <c r="V83" s="1477"/>
      <c r="W83" s="1477"/>
      <c r="X83" s="1477"/>
      <c r="Y83" s="1477"/>
      <c r="Z83" s="1477"/>
    </row>
    <row r="84" spans="1:26" hidden="1" x14ac:dyDescent="0.25">
      <c r="A84" s="918" t="s">
        <v>1272</v>
      </c>
      <c r="B84" s="867" t="str">
        <f t="shared" ref="B84:B92" ca="1" si="12">_xlfn.IFNA(_xlfn.CONCAT(SUBSTITUTE(ADDRESS(1,MATCH(A84,INDIRECT("'"&amp;E84&amp;"'"&amp;"!A5:Z5"),0),4),1,""),10),"")</f>
        <v>I10</v>
      </c>
      <c r="C84" s="867" t="str">
        <f t="shared" ca="1" si="6"/>
        <v>I</v>
      </c>
      <c r="D84" s="867" t="s">
        <v>1372</v>
      </c>
      <c r="E84" s="867" t="s">
        <v>876</v>
      </c>
      <c r="F84" s="867"/>
      <c r="G84" s="867"/>
      <c r="H84" s="867"/>
      <c r="I84" s="1427" t="str">
        <f t="shared" si="9"/>
        <v>Agreement Annual Purchase Commitment</v>
      </c>
      <c r="J84" s="1480" t="str">
        <f>Q$1&amp;IF(Q84&lt;&gt;"",M84,M86)</f>
        <v>F123</v>
      </c>
      <c r="K84" s="1480" t="str">
        <f t="shared" si="10"/>
        <v>Customer Inputs</v>
      </c>
      <c r="L84" s="52" t="s">
        <v>1272</v>
      </c>
      <c r="M84" s="1480">
        <v>121</v>
      </c>
      <c r="N84" s="867"/>
      <c r="O84" s="1477"/>
      <c r="P84" s="1477"/>
      <c r="Q84" s="1477"/>
      <c r="R84" s="1477"/>
      <c r="S84" s="1477"/>
      <c r="T84" s="1477"/>
      <c r="U84" s="1477"/>
      <c r="V84" s="1477"/>
      <c r="W84" s="1477"/>
      <c r="X84" s="1477"/>
      <c r="Y84" s="1477"/>
      <c r="Z84" s="1477"/>
    </row>
    <row r="85" spans="1:26" ht="30" hidden="1" x14ac:dyDescent="0.25">
      <c r="A85" s="917" t="s">
        <v>1273</v>
      </c>
      <c r="B85" s="867" t="str">
        <f t="shared" ca="1" si="12"/>
        <v>J10</v>
      </c>
      <c r="C85" s="867" t="str">
        <f t="shared" ca="1" si="6"/>
        <v>J</v>
      </c>
      <c r="D85" s="867" t="s">
        <v>1372</v>
      </c>
      <c r="E85" s="867" t="s">
        <v>876</v>
      </c>
      <c r="F85" s="867"/>
      <c r="G85" s="867"/>
      <c r="H85" s="867"/>
      <c r="I85" s="1427" t="str">
        <f t="shared" si="9"/>
        <v>Agreement Deliveries Per Customer Unit Per Week</v>
      </c>
      <c r="J85" s="1480" t="str">
        <f>Q$1&amp;IF(Q85&lt;&gt;"",M85,M87)</f>
        <v>F124</v>
      </c>
      <c r="K85" s="1480" t="str">
        <f t="shared" si="10"/>
        <v>Customer Inputs</v>
      </c>
      <c r="L85" s="867" t="s">
        <v>1273</v>
      </c>
      <c r="M85" s="1480">
        <v>122</v>
      </c>
      <c r="N85" s="867"/>
      <c r="O85" s="1477"/>
      <c r="P85" s="1477"/>
      <c r="Q85" s="1477"/>
      <c r="R85" s="1477"/>
      <c r="S85" s="1477"/>
      <c r="T85" s="1477"/>
      <c r="U85" s="1477"/>
      <c r="V85" s="1477"/>
      <c r="W85" s="1477"/>
      <c r="X85" s="1477"/>
      <c r="Y85" s="1477"/>
      <c r="Z85" s="1477"/>
    </row>
    <row r="86" spans="1:26" hidden="1"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9"/>
        <v/>
      </c>
      <c r="J86" s="1480"/>
      <c r="K86" s="1480" t="str">
        <f t="shared" si="10"/>
        <v/>
      </c>
      <c r="L86" s="867" t="s">
        <v>1195</v>
      </c>
      <c r="M86" s="1480">
        <v>123</v>
      </c>
      <c r="N86" s="867"/>
      <c r="O86" s="1477" t="s">
        <v>874</v>
      </c>
      <c r="P86" s="1477"/>
      <c r="Q86" s="1477"/>
      <c r="R86" s="1477"/>
      <c r="S86" s="1477"/>
      <c r="T86" s="1477"/>
      <c r="U86" s="1477"/>
      <c r="V86" s="1477"/>
      <c r="W86" s="1477"/>
      <c r="X86" s="1477"/>
      <c r="Y86" s="1477"/>
      <c r="Z86" s="1477"/>
    </row>
    <row r="87" spans="1:26" hidden="1"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9"/>
        <v/>
      </c>
      <c r="J87" s="1480"/>
      <c r="K87" s="1480" t="str">
        <f t="shared" si="10"/>
        <v/>
      </c>
      <c r="L87" s="905" t="s">
        <v>1196</v>
      </c>
      <c r="M87" s="1480">
        <v>124</v>
      </c>
      <c r="N87" s="867"/>
      <c r="O87" s="1477" t="s">
        <v>1193</v>
      </c>
      <c r="P87" s="1477"/>
      <c r="Q87" s="1477"/>
      <c r="R87" s="1477"/>
      <c r="S87" s="1477"/>
      <c r="T87" s="1477"/>
      <c r="U87" s="1477"/>
      <c r="V87" s="1477"/>
      <c r="W87" s="1477"/>
      <c r="X87" s="1477"/>
      <c r="Y87" s="1477"/>
      <c r="Z87" s="1477"/>
    </row>
    <row r="88" spans="1:26" hidden="1"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9"/>
        <v/>
      </c>
      <c r="J88" s="1480"/>
      <c r="K88" s="1480" t="str">
        <f t="shared" si="10"/>
        <v/>
      </c>
      <c r="L88" s="905" t="s">
        <v>1197</v>
      </c>
      <c r="M88" s="1480">
        <v>125</v>
      </c>
      <c r="N88" s="867"/>
      <c r="O88" s="1477" t="s">
        <v>1200</v>
      </c>
      <c r="P88" s="1477"/>
      <c r="Q88" s="1477"/>
      <c r="R88" s="1477"/>
      <c r="S88" s="1477"/>
      <c r="T88" s="1477"/>
      <c r="U88" s="1477"/>
      <c r="V88" s="1477"/>
      <c r="W88" s="1477"/>
      <c r="X88" s="1477"/>
      <c r="Y88" s="1477"/>
      <c r="Z88" s="1477"/>
    </row>
    <row r="89" spans="1:26" hidden="1"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9"/>
        <v/>
      </c>
      <c r="J89" s="1480"/>
      <c r="K89" s="1480" t="str">
        <f t="shared" si="10"/>
        <v/>
      </c>
      <c r="L89" s="905" t="s">
        <v>1198</v>
      </c>
      <c r="M89" s="1480">
        <v>126</v>
      </c>
      <c r="N89" s="867"/>
      <c r="O89" s="1477" t="s">
        <v>1194</v>
      </c>
      <c r="P89" s="1477"/>
      <c r="Q89" s="1477"/>
      <c r="R89" s="1477"/>
      <c r="S89" s="1477"/>
      <c r="T89" s="1477"/>
      <c r="U89" s="1477"/>
      <c r="V89" s="1477"/>
      <c r="W89" s="1477"/>
      <c r="X89" s="1477"/>
      <c r="Y89" s="1477"/>
      <c r="Z89" s="1477"/>
    </row>
    <row r="90" spans="1:26" hidden="1" x14ac:dyDescent="0.25">
      <c r="A90" s="919" t="s">
        <v>1199</v>
      </c>
      <c r="B90" s="867" t="str">
        <f t="shared" ca="1" si="12"/>
        <v>U10</v>
      </c>
      <c r="C90" s="867" t="str">
        <f t="shared" ca="1" si="6"/>
        <v>U</v>
      </c>
      <c r="D90" s="867" t="s">
        <v>1372</v>
      </c>
      <c r="E90" s="867" t="s">
        <v>876</v>
      </c>
      <c r="F90" s="867"/>
      <c r="G90" s="867"/>
      <c r="H90" s="867"/>
      <c r="I90" s="1427" t="str">
        <f t="shared" si="9"/>
        <v/>
      </c>
      <c r="J90" s="1480"/>
      <c r="K90" s="1480" t="str">
        <f t="shared" si="10"/>
        <v/>
      </c>
      <c r="L90" s="905" t="s">
        <v>1199</v>
      </c>
      <c r="M90" s="1480">
        <v>127</v>
      </c>
      <c r="N90" s="867"/>
      <c r="O90" s="1477"/>
      <c r="P90" s="1477"/>
      <c r="Q90" s="1477"/>
      <c r="R90" s="1477"/>
      <c r="S90" s="1477"/>
      <c r="T90" s="1477"/>
      <c r="U90" s="1477"/>
      <c r="V90" s="1477"/>
      <c r="W90" s="1477"/>
      <c r="X90" s="1477"/>
      <c r="Y90" s="1477"/>
      <c r="Z90" s="1477"/>
    </row>
    <row r="91" spans="1:26" hidden="1" x14ac:dyDescent="0.25">
      <c r="A91" s="919" t="s">
        <v>1354</v>
      </c>
      <c r="B91" s="867" t="str">
        <f t="shared" ca="1" si="12"/>
        <v>V10</v>
      </c>
      <c r="C91" s="867" t="str">
        <f t="shared" ca="1" si="6"/>
        <v>V</v>
      </c>
      <c r="D91" s="867" t="s">
        <v>1372</v>
      </c>
      <c r="E91" s="867" t="s">
        <v>876</v>
      </c>
      <c r="F91" s="867"/>
      <c r="G91" s="867"/>
      <c r="H91" s="867"/>
      <c r="I91" s="1427" t="str">
        <f t="shared" si="9"/>
        <v/>
      </c>
      <c r="J91" s="1480"/>
      <c r="K91" s="1480" t="str">
        <f t="shared" si="10"/>
        <v/>
      </c>
      <c r="L91" s="905" t="s">
        <v>1445</v>
      </c>
      <c r="M91" s="1480">
        <v>128</v>
      </c>
      <c r="N91" s="867"/>
      <c r="O91" s="1477"/>
      <c r="P91" s="1477"/>
      <c r="Q91" s="1477"/>
      <c r="R91" s="1477"/>
      <c r="S91" s="1477"/>
      <c r="T91" s="1477"/>
      <c r="U91" s="1477"/>
      <c r="V91" s="1477"/>
      <c r="W91" s="1477"/>
      <c r="X91" s="1477"/>
      <c r="Y91" s="1477"/>
      <c r="Z91" s="1477"/>
    </row>
    <row r="92" spans="1:26" hidden="1" x14ac:dyDescent="0.25">
      <c r="A92" s="919" t="s">
        <v>1650</v>
      </c>
      <c r="B92" s="867" t="str">
        <f t="shared" ca="1" si="12"/>
        <v>W10</v>
      </c>
      <c r="C92" s="867" t="str">
        <f t="shared" ca="1" si="6"/>
        <v>W</v>
      </c>
      <c r="D92" s="867" t="s">
        <v>1372</v>
      </c>
      <c r="E92" s="867" t="s">
        <v>876</v>
      </c>
      <c r="F92" s="867"/>
      <c r="G92" s="867"/>
      <c r="H92" s="867"/>
      <c r="I92" s="1427" t="str">
        <f t="shared" si="9"/>
        <v>Add or End Customer</v>
      </c>
      <c r="J92" s="1480" t="str">
        <f>IF(M92&lt;&gt;"",Q$1&amp;M92,"")</f>
        <v>F129</v>
      </c>
      <c r="K92" s="1480" t="str">
        <f t="shared" si="10"/>
        <v>Customer Inputs</v>
      </c>
      <c r="L92" s="905" t="s">
        <v>1650</v>
      </c>
      <c r="M92" s="1480">
        <v>129</v>
      </c>
      <c r="N92" s="867"/>
      <c r="O92" s="1477"/>
      <c r="P92" s="1477"/>
      <c r="Q92" s="1477"/>
      <c r="R92" s="1477"/>
      <c r="S92" s="1477"/>
      <c r="T92" s="1477"/>
      <c r="U92" s="1477"/>
      <c r="V92" s="1477"/>
      <c r="W92" s="1477"/>
      <c r="X92" s="1477"/>
      <c r="Y92" s="1477"/>
      <c r="Z92" s="1477"/>
    </row>
    <row r="93" spans="1:26" hidden="1" x14ac:dyDescent="0.25">
      <c r="A93" s="920" t="s">
        <v>1192</v>
      </c>
      <c r="B93" s="867" t="str">
        <f ca="1">_xlfn.IFNA(_xlfn.CONCAT(SUBSTITUTE(ADDRESS(1,MATCH(A93,INDIRECT("'"&amp;E93&amp;"'"&amp;"!A5:Z5"),0),4),1,""),11),"")</f>
        <v>H11</v>
      </c>
      <c r="C93" s="867" t="str">
        <f t="shared" ca="1" si="6"/>
        <v>H</v>
      </c>
      <c r="D93" s="867" t="s">
        <v>1372</v>
      </c>
      <c r="E93" s="867" t="s">
        <v>876</v>
      </c>
      <c r="F93" s="867"/>
      <c r="G93" s="867"/>
      <c r="H93" s="867"/>
      <c r="I93" s="1427" t="str">
        <f t="shared" si="9"/>
        <v>Pyramid Segment</v>
      </c>
      <c r="J93" s="1480" t="str">
        <f>IF(AND(P1226="",M93&lt;&gt;""),Q$1&amp;M93,"")</f>
        <v>F140</v>
      </c>
      <c r="K93" s="1480" t="str">
        <f t="shared" si="10"/>
        <v>Customer Inputs</v>
      </c>
      <c r="L93" s="867" t="s">
        <v>1192</v>
      </c>
      <c r="M93" s="1480">
        <v>140</v>
      </c>
      <c r="N93" s="867"/>
      <c r="O93" s="1477"/>
      <c r="P93" s="1477"/>
      <c r="Q93" s="1477"/>
      <c r="R93" s="1477"/>
      <c r="S93" s="1477"/>
      <c r="T93" s="1477"/>
      <c r="U93" s="1477"/>
      <c r="V93" s="1477"/>
      <c r="W93" s="1477"/>
      <c r="X93" s="1477"/>
      <c r="Y93" s="1477"/>
      <c r="Z93" s="1477"/>
    </row>
    <row r="94" spans="1:26" hidden="1" x14ac:dyDescent="0.25">
      <c r="A94" s="921" t="s">
        <v>1272</v>
      </c>
      <c r="B94" s="867" t="str">
        <f t="shared" ref="B94:B102" ca="1" si="13">_xlfn.IFNA(_xlfn.CONCAT(SUBSTITUTE(ADDRESS(1,MATCH(A94,INDIRECT("'"&amp;E94&amp;"'"&amp;"!A5:Z5"),0),4),1,""),11),"")</f>
        <v>I11</v>
      </c>
      <c r="C94" s="867" t="str">
        <f t="shared" ca="1" si="6"/>
        <v>I</v>
      </c>
      <c r="D94" s="867" t="s">
        <v>1372</v>
      </c>
      <c r="E94" s="867" t="s">
        <v>876</v>
      </c>
      <c r="F94" s="867"/>
      <c r="G94" s="867"/>
      <c r="H94" s="867"/>
      <c r="I94" s="1427" t="str">
        <f t="shared" si="9"/>
        <v>Agreement Annual Purchase Commitment</v>
      </c>
      <c r="J94" s="1480" t="str">
        <f>Q$1&amp;IF(Q94&lt;&gt;"",M94,M96)</f>
        <v>F144</v>
      </c>
      <c r="K94" s="1480" t="str">
        <f t="shared" si="10"/>
        <v>Customer Inputs</v>
      </c>
      <c r="L94" s="52" t="s">
        <v>1272</v>
      </c>
      <c r="M94" s="1480">
        <v>142</v>
      </c>
      <c r="N94" s="867"/>
      <c r="O94" s="1477"/>
      <c r="P94" s="1477"/>
      <c r="Q94" s="1477"/>
      <c r="R94" s="1477"/>
      <c r="S94" s="1477"/>
      <c r="T94" s="1477"/>
      <c r="U94" s="1477"/>
      <c r="V94" s="1477"/>
      <c r="W94" s="1477"/>
      <c r="X94" s="1477"/>
      <c r="Y94" s="1477"/>
      <c r="Z94" s="1477"/>
    </row>
    <row r="95" spans="1:26" ht="30" hidden="1" x14ac:dyDescent="0.25">
      <c r="A95" s="920" t="s">
        <v>1273</v>
      </c>
      <c r="B95" s="867" t="str">
        <f t="shared" ca="1" si="13"/>
        <v>J11</v>
      </c>
      <c r="C95" s="867" t="str">
        <f t="shared" ca="1" si="6"/>
        <v>J</v>
      </c>
      <c r="D95" s="867" t="s">
        <v>1372</v>
      </c>
      <c r="E95" s="867" t="s">
        <v>876</v>
      </c>
      <c r="F95" s="867"/>
      <c r="G95" s="867"/>
      <c r="H95" s="867"/>
      <c r="I95" s="1427" t="str">
        <f t="shared" si="9"/>
        <v>Agreement Deliveries Per Customer Unit Per Week</v>
      </c>
      <c r="J95" s="1480" t="str">
        <f>Q$1&amp;IF(Q95&lt;&gt;"",M95,M97)</f>
        <v>F145</v>
      </c>
      <c r="K95" s="1480" t="str">
        <f t="shared" si="10"/>
        <v>Customer Inputs</v>
      </c>
      <c r="L95" s="867" t="s">
        <v>1273</v>
      </c>
      <c r="M95" s="1480">
        <v>143</v>
      </c>
      <c r="N95" s="867"/>
      <c r="O95" s="1477"/>
      <c r="P95" s="1477"/>
      <c r="Q95" s="1477"/>
      <c r="R95" s="1477"/>
      <c r="S95" s="1477"/>
      <c r="T95" s="1477"/>
      <c r="U95" s="1477"/>
      <c r="V95" s="1477"/>
      <c r="W95" s="1477"/>
      <c r="X95" s="1477"/>
      <c r="Y95" s="1477"/>
      <c r="Z95" s="1477"/>
    </row>
    <row r="96" spans="1:26" hidden="1"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9"/>
        <v/>
      </c>
      <c r="J96" s="1480"/>
      <c r="K96" s="1480" t="str">
        <f t="shared" si="10"/>
        <v/>
      </c>
      <c r="L96" s="867" t="s">
        <v>1195</v>
      </c>
      <c r="M96" s="1480">
        <v>144</v>
      </c>
      <c r="N96" s="867"/>
      <c r="O96" s="1477" t="s">
        <v>874</v>
      </c>
      <c r="P96" s="1477"/>
      <c r="Q96" s="1477"/>
      <c r="R96" s="1477"/>
      <c r="S96" s="1477"/>
      <c r="T96" s="1477"/>
      <c r="U96" s="1477"/>
      <c r="V96" s="1477"/>
      <c r="W96" s="1477"/>
      <c r="X96" s="1477"/>
      <c r="Y96" s="1477"/>
      <c r="Z96" s="1477"/>
    </row>
    <row r="97" spans="1:26" hidden="1"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9"/>
        <v/>
      </c>
      <c r="J97" s="1480"/>
      <c r="K97" s="1480" t="str">
        <f t="shared" si="10"/>
        <v/>
      </c>
      <c r="L97" s="905" t="s">
        <v>1196</v>
      </c>
      <c r="M97" s="1480">
        <v>145</v>
      </c>
      <c r="N97" s="867"/>
      <c r="O97" s="1477" t="s">
        <v>1193</v>
      </c>
      <c r="P97" s="1477"/>
      <c r="Q97" s="1477"/>
      <c r="R97" s="1477"/>
      <c r="S97" s="1477"/>
      <c r="T97" s="1477"/>
      <c r="U97" s="1477"/>
      <c r="V97" s="1477"/>
      <c r="W97" s="1477"/>
      <c r="X97" s="1477"/>
      <c r="Y97" s="1477"/>
      <c r="Z97" s="1477"/>
    </row>
    <row r="98" spans="1:26" hidden="1"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9"/>
        <v/>
      </c>
      <c r="J98" s="1480"/>
      <c r="K98" s="1480" t="str">
        <f t="shared" si="10"/>
        <v/>
      </c>
      <c r="L98" s="905" t="s">
        <v>1197</v>
      </c>
      <c r="M98" s="1480">
        <v>146</v>
      </c>
      <c r="N98" s="867"/>
      <c r="O98" s="1477" t="s">
        <v>1200</v>
      </c>
      <c r="P98" s="1477"/>
      <c r="Q98" s="1477"/>
      <c r="R98" s="1477"/>
      <c r="S98" s="1477"/>
      <c r="T98" s="1477"/>
      <c r="U98" s="1477"/>
      <c r="V98" s="1477"/>
      <c r="W98" s="1477"/>
      <c r="X98" s="1477"/>
      <c r="Y98" s="1477"/>
      <c r="Z98" s="1477"/>
    </row>
    <row r="99" spans="1:26" hidden="1"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80"/>
      <c r="G99" s="1480"/>
      <c r="H99" s="1480"/>
      <c r="I99" s="1427" t="str">
        <f t="shared" si="9"/>
        <v/>
      </c>
      <c r="J99" s="1480"/>
      <c r="K99" s="1480" t="str">
        <f t="shared" si="10"/>
        <v/>
      </c>
      <c r="L99" s="905" t="s">
        <v>1198</v>
      </c>
      <c r="M99" s="1480">
        <v>147</v>
      </c>
      <c r="N99" s="1480"/>
      <c r="O99" s="1477" t="s">
        <v>1194</v>
      </c>
      <c r="P99" s="1477"/>
      <c r="Q99" s="1477"/>
      <c r="R99" s="1477"/>
      <c r="S99" s="1477"/>
      <c r="T99" s="1477"/>
      <c r="U99" s="1477"/>
      <c r="V99" s="1477"/>
      <c r="W99" s="1477"/>
      <c r="X99" s="1477"/>
      <c r="Y99" s="1477"/>
      <c r="Z99" s="1477"/>
    </row>
    <row r="100" spans="1:26" hidden="1" x14ac:dyDescent="0.25">
      <c r="A100" s="922" t="s">
        <v>1199</v>
      </c>
      <c r="B100" s="867" t="str">
        <f t="shared" ca="1" si="13"/>
        <v>U11</v>
      </c>
      <c r="C100" s="867" t="str">
        <f t="shared" ca="1" si="6"/>
        <v>U</v>
      </c>
      <c r="D100" s="867" t="s">
        <v>1372</v>
      </c>
      <c r="E100" s="867" t="s">
        <v>876</v>
      </c>
      <c r="F100" s="1480"/>
      <c r="G100" s="1480"/>
      <c r="H100" s="1480"/>
      <c r="I100" s="1427" t="str">
        <f t="shared" si="9"/>
        <v/>
      </c>
      <c r="J100" s="1480"/>
      <c r="K100" s="1480" t="str">
        <f t="shared" si="10"/>
        <v/>
      </c>
      <c r="L100" s="905" t="s">
        <v>1199</v>
      </c>
      <c r="M100" s="1480">
        <v>148</v>
      </c>
      <c r="N100" s="1480"/>
      <c r="O100" s="1477"/>
      <c r="P100" s="1477"/>
      <c r="Q100" s="1477"/>
      <c r="R100" s="1477"/>
      <c r="S100" s="1477"/>
      <c r="T100" s="1477"/>
      <c r="U100" s="1477"/>
      <c r="V100" s="1477"/>
      <c r="W100" s="1477"/>
      <c r="X100" s="1477"/>
      <c r="Y100" s="1477"/>
      <c r="Z100" s="1477"/>
    </row>
    <row r="101" spans="1:26" hidden="1" x14ac:dyDescent="0.25">
      <c r="A101" s="922" t="s">
        <v>1354</v>
      </c>
      <c r="B101" s="867" t="str">
        <f t="shared" ca="1" si="13"/>
        <v>V11</v>
      </c>
      <c r="C101" s="867" t="str">
        <f t="shared" ca="1" si="6"/>
        <v>V</v>
      </c>
      <c r="D101" s="867" t="s">
        <v>1372</v>
      </c>
      <c r="E101" s="867" t="s">
        <v>876</v>
      </c>
      <c r="F101" s="1480"/>
      <c r="G101" s="1480"/>
      <c r="H101" s="1480"/>
      <c r="I101" s="1427" t="str">
        <f t="shared" si="9"/>
        <v/>
      </c>
      <c r="J101" s="1480"/>
      <c r="K101" s="1480" t="str">
        <f t="shared" si="10"/>
        <v/>
      </c>
      <c r="L101" s="905" t="s">
        <v>1445</v>
      </c>
      <c r="M101" s="1480">
        <v>149</v>
      </c>
      <c r="N101" s="1480"/>
      <c r="O101" s="1477"/>
      <c r="P101" s="1477"/>
      <c r="Q101" s="1477"/>
      <c r="R101" s="1477"/>
      <c r="S101" s="1477"/>
      <c r="T101" s="1477"/>
      <c r="U101" s="1477"/>
      <c r="V101" s="1477"/>
      <c r="W101" s="1477"/>
      <c r="X101" s="1477"/>
      <c r="Y101" s="1477"/>
      <c r="Z101" s="1477"/>
    </row>
    <row r="102" spans="1:26" hidden="1" x14ac:dyDescent="0.25">
      <c r="A102" s="922" t="s">
        <v>1650</v>
      </c>
      <c r="B102" s="867" t="str">
        <f t="shared" ca="1" si="13"/>
        <v>W11</v>
      </c>
      <c r="C102" s="867" t="str">
        <f t="shared" ca="1" si="6"/>
        <v>W</v>
      </c>
      <c r="D102" s="867" t="s">
        <v>1372</v>
      </c>
      <c r="E102" s="867" t="s">
        <v>876</v>
      </c>
      <c r="F102" s="1480"/>
      <c r="G102" s="1480"/>
      <c r="H102" s="1480"/>
      <c r="I102" s="1427" t="str">
        <f t="shared" si="9"/>
        <v>Add or End Customer</v>
      </c>
      <c r="J102" s="1480" t="str">
        <f>IF(M102&lt;&gt;"",Q$1&amp;M102,"")</f>
        <v>F150</v>
      </c>
      <c r="K102" s="1480" t="str">
        <f t="shared" si="10"/>
        <v>Customer Inputs</v>
      </c>
      <c r="L102" s="905" t="s">
        <v>1650</v>
      </c>
      <c r="M102" s="1480">
        <v>150</v>
      </c>
      <c r="N102" s="1480"/>
      <c r="O102" s="1477"/>
      <c r="P102" s="1477"/>
      <c r="Q102" s="1477"/>
      <c r="R102" s="1477"/>
      <c r="S102" s="1477"/>
      <c r="T102" s="1477"/>
      <c r="U102" s="1477"/>
      <c r="V102" s="1477"/>
      <c r="W102" s="1477"/>
      <c r="X102" s="1477"/>
      <c r="Y102" s="1477"/>
      <c r="Z102" s="1477"/>
    </row>
    <row r="103" spans="1:26" hidden="1" x14ac:dyDescent="0.25">
      <c r="A103" s="917" t="s">
        <v>1192</v>
      </c>
      <c r="B103" s="867" t="str">
        <f ca="1">_xlfn.IFNA(_xlfn.CONCAT(SUBSTITUTE(ADDRESS(1,MATCH(A103,INDIRECT("'"&amp;E103&amp;"'"&amp;"!A5:Z5"),0),4),1,""),12),"")</f>
        <v>H12</v>
      </c>
      <c r="C103" s="867" t="str">
        <f t="shared" ca="1" si="6"/>
        <v>H</v>
      </c>
      <c r="D103" s="867" t="s">
        <v>1372</v>
      </c>
      <c r="E103" s="867" t="s">
        <v>876</v>
      </c>
      <c r="F103" s="1480"/>
      <c r="G103" s="1480"/>
      <c r="H103" s="1480"/>
      <c r="I103" s="1427" t="str">
        <f t="shared" si="9"/>
        <v>Pyramid Segment</v>
      </c>
      <c r="J103" s="1480" t="str">
        <f>IF(AND(P1227="",M103&lt;&gt;""),Q$1&amp;M103,"")</f>
        <v>F161</v>
      </c>
      <c r="K103" s="1480" t="str">
        <f t="shared" si="10"/>
        <v>Customer Inputs</v>
      </c>
      <c r="L103" s="867" t="s">
        <v>1192</v>
      </c>
      <c r="M103" s="1480">
        <v>161</v>
      </c>
      <c r="N103" s="1480"/>
      <c r="O103" s="1477"/>
      <c r="P103" s="1477"/>
      <c r="Q103" s="1477"/>
      <c r="R103" s="1477"/>
      <c r="S103" s="1477"/>
      <c r="T103" s="1477"/>
      <c r="U103" s="1477"/>
      <c r="V103" s="1477"/>
      <c r="W103" s="1477"/>
      <c r="X103" s="1477"/>
      <c r="Y103" s="1477"/>
      <c r="Z103" s="1477"/>
    </row>
    <row r="104" spans="1:26" hidden="1" x14ac:dyDescent="0.25">
      <c r="A104" s="918" t="s">
        <v>1272</v>
      </c>
      <c r="B104" s="867" t="str">
        <f t="shared" ref="B104:B112" ca="1" si="14">_xlfn.IFNA(_xlfn.CONCAT(SUBSTITUTE(ADDRESS(1,MATCH(A104,INDIRECT("'"&amp;E104&amp;"'"&amp;"!A5:Z5"),0),4),1,""),12),"")</f>
        <v>I12</v>
      </c>
      <c r="C104" s="867" t="str">
        <f t="shared" ca="1" si="6"/>
        <v>I</v>
      </c>
      <c r="D104" s="867" t="s">
        <v>1372</v>
      </c>
      <c r="E104" s="867" t="s">
        <v>876</v>
      </c>
      <c r="F104" s="1480"/>
      <c r="G104" s="1480"/>
      <c r="H104" s="1480"/>
      <c r="I104" s="1427" t="str">
        <f t="shared" si="9"/>
        <v>Agreement Annual Purchase Commitment</v>
      </c>
      <c r="J104" s="1480" t="str">
        <f>Q$1&amp;IF(Q104&lt;&gt;"",M104,M106)</f>
        <v>F165</v>
      </c>
      <c r="K104" s="1480" t="str">
        <f t="shared" si="10"/>
        <v>Customer Inputs</v>
      </c>
      <c r="L104" s="52" t="s">
        <v>1272</v>
      </c>
      <c r="M104" s="1480">
        <v>163</v>
      </c>
      <c r="N104" s="1480"/>
      <c r="O104" s="1477"/>
      <c r="P104" s="1477"/>
      <c r="Q104" s="1477"/>
      <c r="R104" s="1477"/>
      <c r="S104" s="1477"/>
      <c r="T104" s="1477"/>
      <c r="U104" s="1477"/>
      <c r="V104" s="1477"/>
      <c r="W104" s="1477"/>
      <c r="X104" s="1477"/>
      <c r="Y104" s="1477"/>
      <c r="Z104" s="1477"/>
    </row>
    <row r="105" spans="1:26" ht="30" hidden="1" x14ac:dyDescent="0.25">
      <c r="A105" s="917" t="s">
        <v>1273</v>
      </c>
      <c r="B105" s="867" t="str">
        <f t="shared" ca="1" si="14"/>
        <v>J12</v>
      </c>
      <c r="C105" s="867" t="str">
        <f t="shared" ca="1" si="6"/>
        <v>J</v>
      </c>
      <c r="D105" s="867" t="s">
        <v>1372</v>
      </c>
      <c r="E105" s="867" t="s">
        <v>876</v>
      </c>
      <c r="F105" s="1480"/>
      <c r="G105" s="1480"/>
      <c r="H105" s="1480"/>
      <c r="I105" s="1427" t="str">
        <f t="shared" si="9"/>
        <v>Agreement Deliveries Per Customer Unit Per Week</v>
      </c>
      <c r="J105" s="1480" t="str">
        <f>Q$1&amp;IF(Q105&lt;&gt;"",M105,M107)</f>
        <v>F166</v>
      </c>
      <c r="K105" s="1480" t="str">
        <f t="shared" si="10"/>
        <v>Customer Inputs</v>
      </c>
      <c r="L105" s="867" t="s">
        <v>1273</v>
      </c>
      <c r="M105" s="1480">
        <v>164</v>
      </c>
      <c r="N105" s="1480"/>
      <c r="O105" s="1477"/>
      <c r="P105" s="1477"/>
      <c r="Q105" s="1477"/>
      <c r="R105" s="1477"/>
      <c r="S105" s="1477"/>
      <c r="T105" s="1477"/>
      <c r="U105" s="1477"/>
      <c r="V105" s="1477"/>
      <c r="W105" s="1477"/>
      <c r="X105" s="1477"/>
      <c r="Y105" s="1477"/>
      <c r="Z105" s="1477"/>
    </row>
    <row r="106" spans="1:26" hidden="1"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80"/>
      <c r="G106" s="1480"/>
      <c r="H106" s="1480"/>
      <c r="I106" s="1427" t="str">
        <f t="shared" si="9"/>
        <v/>
      </c>
      <c r="J106" s="1480"/>
      <c r="K106" s="1480" t="str">
        <f t="shared" si="10"/>
        <v/>
      </c>
      <c r="L106" s="867" t="s">
        <v>1195</v>
      </c>
      <c r="M106" s="1480">
        <v>165</v>
      </c>
      <c r="N106" s="1480"/>
      <c r="O106" s="1477" t="s">
        <v>874</v>
      </c>
      <c r="P106" s="1477"/>
      <c r="Q106" s="1477"/>
      <c r="R106" s="1477"/>
      <c r="S106" s="1477"/>
      <c r="T106" s="1477"/>
      <c r="U106" s="1477"/>
      <c r="V106" s="1477"/>
      <c r="W106" s="1477"/>
      <c r="X106" s="1477"/>
      <c r="Y106" s="1477"/>
      <c r="Z106" s="1477"/>
    </row>
    <row r="107" spans="1:26" hidden="1"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80"/>
      <c r="G107" s="1480"/>
      <c r="H107" s="1480"/>
      <c r="I107" s="1427" t="str">
        <f t="shared" si="9"/>
        <v/>
      </c>
      <c r="J107" s="1480"/>
      <c r="K107" s="1480" t="str">
        <f t="shared" si="10"/>
        <v/>
      </c>
      <c r="L107" s="905" t="s">
        <v>1196</v>
      </c>
      <c r="M107" s="1480">
        <v>166</v>
      </c>
      <c r="N107" s="1480"/>
      <c r="O107" s="1477" t="s">
        <v>1193</v>
      </c>
      <c r="P107" s="1477"/>
      <c r="Q107" s="1477"/>
      <c r="R107" s="1477"/>
      <c r="S107" s="1477"/>
      <c r="T107" s="1477"/>
      <c r="U107" s="1477"/>
      <c r="V107" s="1477"/>
      <c r="W107" s="1477"/>
      <c r="X107" s="1477"/>
      <c r="Y107" s="1477"/>
      <c r="Z107" s="1477"/>
    </row>
    <row r="108" spans="1:26" hidden="1"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80"/>
      <c r="G108" s="1480"/>
      <c r="H108" s="1480"/>
      <c r="I108" s="1427" t="str">
        <f t="shared" si="9"/>
        <v/>
      </c>
      <c r="J108" s="1480"/>
      <c r="K108" s="1480" t="str">
        <f t="shared" si="10"/>
        <v/>
      </c>
      <c r="L108" s="905" t="s">
        <v>1197</v>
      </c>
      <c r="M108" s="1480">
        <v>167</v>
      </c>
      <c r="N108" s="1480"/>
      <c r="O108" s="1477" t="s">
        <v>1200</v>
      </c>
      <c r="P108" s="1477"/>
      <c r="Q108" s="1477"/>
      <c r="R108" s="1477"/>
      <c r="S108" s="1477"/>
      <c r="T108" s="1477"/>
      <c r="U108" s="1477"/>
      <c r="V108" s="1477"/>
      <c r="W108" s="1477"/>
      <c r="X108" s="1477"/>
      <c r="Y108" s="1477"/>
      <c r="Z108" s="1477"/>
    </row>
    <row r="109" spans="1:26" hidden="1"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80"/>
      <c r="G109" s="1480"/>
      <c r="H109" s="1480"/>
      <c r="I109" s="1427" t="str">
        <f t="shared" si="9"/>
        <v/>
      </c>
      <c r="J109" s="1480"/>
      <c r="K109" s="1480" t="str">
        <f t="shared" si="10"/>
        <v/>
      </c>
      <c r="L109" s="905" t="s">
        <v>1198</v>
      </c>
      <c r="M109" s="1480">
        <v>168</v>
      </c>
      <c r="N109" s="1480"/>
      <c r="O109" s="1477" t="s">
        <v>1194</v>
      </c>
      <c r="P109" s="1477"/>
      <c r="Q109" s="1477"/>
      <c r="R109" s="1477"/>
      <c r="S109" s="1477"/>
      <c r="T109" s="1477"/>
      <c r="U109" s="1477"/>
      <c r="V109" s="1477"/>
      <c r="W109" s="1477"/>
      <c r="X109" s="1477"/>
      <c r="Y109" s="1477"/>
      <c r="Z109" s="1477"/>
    </row>
    <row r="110" spans="1:26" hidden="1" x14ac:dyDescent="0.25">
      <c r="A110" s="919" t="s">
        <v>1199</v>
      </c>
      <c r="B110" s="867" t="str">
        <f t="shared" ca="1" si="14"/>
        <v>U12</v>
      </c>
      <c r="C110" s="867" t="str">
        <f t="shared" ca="1" si="6"/>
        <v>U</v>
      </c>
      <c r="D110" s="867" t="s">
        <v>1372</v>
      </c>
      <c r="E110" s="867" t="s">
        <v>876</v>
      </c>
      <c r="F110" s="1480"/>
      <c r="G110" s="1480"/>
      <c r="H110" s="1480"/>
      <c r="I110" s="1427" t="str">
        <f t="shared" si="9"/>
        <v/>
      </c>
      <c r="J110" s="1480"/>
      <c r="K110" s="1480" t="str">
        <f t="shared" si="10"/>
        <v/>
      </c>
      <c r="L110" s="905" t="s">
        <v>1199</v>
      </c>
      <c r="M110" s="1480">
        <v>169</v>
      </c>
      <c r="N110" s="1480"/>
      <c r="O110" s="1477"/>
      <c r="P110" s="1477"/>
      <c r="Q110" s="1477"/>
      <c r="R110" s="1477"/>
      <c r="S110" s="1477"/>
      <c r="T110" s="1477"/>
      <c r="U110" s="1477"/>
      <c r="V110" s="1477"/>
      <c r="W110" s="1477"/>
      <c r="X110" s="1477"/>
      <c r="Y110" s="1477"/>
      <c r="Z110" s="1477"/>
    </row>
    <row r="111" spans="1:26" hidden="1" x14ac:dyDescent="0.25">
      <c r="A111" s="919" t="s">
        <v>1354</v>
      </c>
      <c r="B111" s="867" t="str">
        <f t="shared" ca="1" si="14"/>
        <v>V12</v>
      </c>
      <c r="C111" s="867" t="str">
        <f t="shared" ca="1" si="6"/>
        <v>V</v>
      </c>
      <c r="D111" s="867" t="s">
        <v>1372</v>
      </c>
      <c r="E111" s="867" t="s">
        <v>876</v>
      </c>
      <c r="F111" s="1480"/>
      <c r="G111" s="1480"/>
      <c r="H111" s="1480"/>
      <c r="I111" s="1427" t="str">
        <f t="shared" si="9"/>
        <v/>
      </c>
      <c r="J111" s="1480"/>
      <c r="K111" s="1480" t="str">
        <f t="shared" si="10"/>
        <v/>
      </c>
      <c r="L111" s="905" t="s">
        <v>1445</v>
      </c>
      <c r="M111" s="1480">
        <v>170</v>
      </c>
      <c r="N111" s="1480"/>
      <c r="O111" s="1477"/>
      <c r="P111" s="1477"/>
      <c r="Q111" s="1477"/>
      <c r="R111" s="1477"/>
      <c r="S111" s="1477"/>
      <c r="T111" s="1477"/>
      <c r="U111" s="1477"/>
      <c r="V111" s="1477"/>
      <c r="W111" s="1477"/>
      <c r="X111" s="1477"/>
      <c r="Y111" s="1477"/>
      <c r="Z111" s="1477"/>
    </row>
    <row r="112" spans="1:26" hidden="1" x14ac:dyDescent="0.25">
      <c r="A112" s="919" t="s">
        <v>1650</v>
      </c>
      <c r="B112" s="867" t="str">
        <f t="shared" ca="1" si="14"/>
        <v>W12</v>
      </c>
      <c r="C112" s="867" t="str">
        <f t="shared" ca="1" si="6"/>
        <v>W</v>
      </c>
      <c r="D112" s="867" t="s">
        <v>1372</v>
      </c>
      <c r="E112" s="867" t="s">
        <v>876</v>
      </c>
      <c r="F112" s="1480"/>
      <c r="G112" s="1480"/>
      <c r="H112" s="1480"/>
      <c r="I112" s="1427" t="str">
        <f t="shared" si="9"/>
        <v>Add or End Customer</v>
      </c>
      <c r="J112" s="1480" t="str">
        <f>IF(M112&lt;&gt;"",Q$1&amp;M112,"")</f>
        <v>F171</v>
      </c>
      <c r="K112" s="1480" t="str">
        <f t="shared" si="10"/>
        <v>Customer Inputs</v>
      </c>
      <c r="L112" s="905" t="s">
        <v>1650</v>
      </c>
      <c r="M112" s="1480">
        <v>171</v>
      </c>
      <c r="N112" s="1480"/>
      <c r="O112" s="1477"/>
      <c r="P112" s="1477"/>
      <c r="Q112" s="1477"/>
      <c r="R112" s="1477"/>
      <c r="S112" s="1477"/>
      <c r="T112" s="1477"/>
      <c r="U112" s="1477"/>
      <c r="V112" s="1477"/>
      <c r="W112" s="1477"/>
      <c r="X112" s="1477"/>
      <c r="Y112" s="1477"/>
      <c r="Z112" s="1477"/>
    </row>
    <row r="113" spans="1:26" hidden="1" x14ac:dyDescent="0.25">
      <c r="A113" s="920" t="s">
        <v>1192</v>
      </c>
      <c r="B113" s="867" t="str">
        <f ca="1">_xlfn.IFNA(_xlfn.CONCAT(SUBSTITUTE(ADDRESS(1,MATCH(A113,INDIRECT("'"&amp;E113&amp;"'"&amp;"!A5:Z5"),0),4),1,""),13),"")</f>
        <v>H13</v>
      </c>
      <c r="C113" s="867" t="str">
        <f t="shared" ca="1" si="6"/>
        <v>H</v>
      </c>
      <c r="D113" s="867" t="s">
        <v>1372</v>
      </c>
      <c r="E113" s="867" t="s">
        <v>876</v>
      </c>
      <c r="F113" s="1480"/>
      <c r="G113" s="1480"/>
      <c r="H113" s="1480"/>
      <c r="I113" s="1427" t="str">
        <f t="shared" si="9"/>
        <v>Pyramid Segment</v>
      </c>
      <c r="J113" s="1480" t="str">
        <f>IF(AND(P1228="",M113&lt;&gt;""),Q$1&amp;M113,"")</f>
        <v>F182</v>
      </c>
      <c r="K113" s="1480" t="str">
        <f t="shared" si="10"/>
        <v>Customer Inputs</v>
      </c>
      <c r="L113" s="867" t="s">
        <v>1192</v>
      </c>
      <c r="M113" s="1480">
        <v>182</v>
      </c>
      <c r="N113" s="1480"/>
      <c r="O113" s="1477"/>
      <c r="P113" s="1477"/>
      <c r="Q113" s="1477"/>
      <c r="R113" s="1477"/>
      <c r="S113" s="1477"/>
      <c r="T113" s="1477"/>
      <c r="U113" s="1477"/>
      <c r="V113" s="1477"/>
      <c r="W113" s="1477"/>
      <c r="X113" s="1477"/>
      <c r="Y113" s="1477"/>
      <c r="Z113" s="1477"/>
    </row>
    <row r="114" spans="1:26" hidden="1" x14ac:dyDescent="0.25">
      <c r="A114" s="921" t="s">
        <v>1272</v>
      </c>
      <c r="B114" s="867" t="str">
        <f t="shared" ref="B114:B122" ca="1" si="15">_xlfn.IFNA(_xlfn.CONCAT(SUBSTITUTE(ADDRESS(1,MATCH(A114,INDIRECT("'"&amp;E114&amp;"'"&amp;"!A5:Z5"),0),4),1,""),13),"")</f>
        <v>I13</v>
      </c>
      <c r="C114" s="867" t="str">
        <f t="shared" ca="1" si="6"/>
        <v>I</v>
      </c>
      <c r="D114" s="867" t="s">
        <v>1372</v>
      </c>
      <c r="E114" s="867" t="s">
        <v>876</v>
      </c>
      <c r="F114" s="1480"/>
      <c r="G114" s="1480"/>
      <c r="H114" s="1480"/>
      <c r="I114" s="1427" t="str">
        <f t="shared" si="9"/>
        <v>Agreement Annual Purchase Commitment</v>
      </c>
      <c r="J114" s="1480" t="str">
        <f>Q$1&amp;IF(Q114&lt;&gt;"",M114,M116)</f>
        <v>F186</v>
      </c>
      <c r="K114" s="1480" t="str">
        <f t="shared" si="10"/>
        <v>Customer Inputs</v>
      </c>
      <c r="L114" s="52" t="s">
        <v>1272</v>
      </c>
      <c r="M114" s="1480">
        <v>184</v>
      </c>
      <c r="N114" s="1480"/>
      <c r="O114" s="1477"/>
      <c r="P114" s="1477"/>
      <c r="Q114" s="1477"/>
      <c r="R114" s="1477"/>
      <c r="S114" s="1477"/>
      <c r="T114" s="1477"/>
      <c r="U114" s="1477"/>
      <c r="V114" s="1477"/>
      <c r="W114" s="1477"/>
      <c r="X114" s="1477"/>
      <c r="Y114" s="1477"/>
      <c r="Z114" s="1477"/>
    </row>
    <row r="115" spans="1:26" ht="30" hidden="1" x14ac:dyDescent="0.25">
      <c r="A115" s="920" t="s">
        <v>1273</v>
      </c>
      <c r="B115" s="867" t="str">
        <f t="shared" ca="1" si="15"/>
        <v>J13</v>
      </c>
      <c r="C115" s="867" t="str">
        <f t="shared" ca="1" si="6"/>
        <v>J</v>
      </c>
      <c r="D115" s="867" t="s">
        <v>1372</v>
      </c>
      <c r="E115" s="867" t="s">
        <v>876</v>
      </c>
      <c r="F115" s="1480"/>
      <c r="G115" s="1480"/>
      <c r="H115" s="1480"/>
      <c r="I115" s="1427" t="str">
        <f t="shared" si="9"/>
        <v>Agreement Deliveries Per Customer Unit Per Week</v>
      </c>
      <c r="J115" s="1480" t="str">
        <f>Q$1&amp;IF(Q115&lt;&gt;"",M115,M117)</f>
        <v>F187</v>
      </c>
      <c r="K115" s="1480" t="str">
        <f t="shared" si="10"/>
        <v>Customer Inputs</v>
      </c>
      <c r="L115" s="867" t="s">
        <v>1273</v>
      </c>
      <c r="M115" s="1480">
        <v>185</v>
      </c>
      <c r="N115" s="1480"/>
      <c r="O115" s="1477"/>
      <c r="P115" s="1477"/>
      <c r="Q115" s="1477"/>
      <c r="R115" s="1477"/>
      <c r="S115" s="1477"/>
      <c r="T115" s="1477"/>
      <c r="U115" s="1477"/>
      <c r="V115" s="1477"/>
      <c r="W115" s="1477"/>
      <c r="X115" s="1477"/>
      <c r="Y115" s="1477"/>
      <c r="Z115" s="1477"/>
    </row>
    <row r="116" spans="1:26" hidden="1"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80"/>
      <c r="G116" s="1480"/>
      <c r="H116" s="1480"/>
      <c r="I116" s="1427" t="str">
        <f t="shared" si="9"/>
        <v/>
      </c>
      <c r="J116" s="1480"/>
      <c r="K116" s="1480" t="str">
        <f t="shared" si="10"/>
        <v/>
      </c>
      <c r="L116" s="867" t="s">
        <v>1195</v>
      </c>
      <c r="M116" s="1480">
        <v>186</v>
      </c>
      <c r="N116" s="1480"/>
      <c r="O116" s="1477" t="s">
        <v>874</v>
      </c>
      <c r="P116" s="1477"/>
      <c r="Q116" s="1477"/>
      <c r="R116" s="1477"/>
      <c r="S116" s="1477"/>
      <c r="T116" s="1477"/>
      <c r="U116" s="1477"/>
      <c r="V116" s="1477"/>
      <c r="W116" s="1477"/>
      <c r="X116" s="1477"/>
      <c r="Y116" s="1477"/>
      <c r="Z116" s="1477"/>
    </row>
    <row r="117" spans="1:26" hidden="1"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80"/>
      <c r="G117" s="1480"/>
      <c r="H117" s="1480"/>
      <c r="I117" s="1427" t="str">
        <f t="shared" si="9"/>
        <v/>
      </c>
      <c r="J117" s="1480"/>
      <c r="K117" s="1480" t="str">
        <f t="shared" si="10"/>
        <v/>
      </c>
      <c r="L117" s="905" t="s">
        <v>1196</v>
      </c>
      <c r="M117" s="1480">
        <v>187</v>
      </c>
      <c r="N117" s="1480"/>
      <c r="O117" s="1477" t="s">
        <v>1193</v>
      </c>
      <c r="P117" s="1477"/>
      <c r="Q117" s="1477"/>
      <c r="R117" s="1477"/>
      <c r="S117" s="1477"/>
      <c r="T117" s="1477"/>
      <c r="U117" s="1477"/>
      <c r="V117" s="1477"/>
      <c r="W117" s="1477"/>
      <c r="X117" s="1477"/>
      <c r="Y117" s="1477"/>
      <c r="Z117" s="1477"/>
    </row>
    <row r="118" spans="1:26" hidden="1"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80"/>
      <c r="G118" s="1480"/>
      <c r="H118" s="1480"/>
      <c r="I118" s="1427" t="str">
        <f t="shared" si="9"/>
        <v/>
      </c>
      <c r="J118" s="1480"/>
      <c r="K118" s="1480" t="str">
        <f t="shared" si="10"/>
        <v/>
      </c>
      <c r="L118" s="905" t="s">
        <v>1197</v>
      </c>
      <c r="M118" s="1480">
        <v>188</v>
      </c>
      <c r="N118" s="1480"/>
      <c r="O118" s="1477" t="s">
        <v>1200</v>
      </c>
      <c r="P118" s="1477"/>
      <c r="Q118" s="1477"/>
      <c r="R118" s="1477"/>
      <c r="S118" s="1477"/>
      <c r="T118" s="1477"/>
      <c r="U118" s="1477"/>
      <c r="V118" s="1477"/>
      <c r="W118" s="1477"/>
      <c r="X118" s="1477"/>
      <c r="Y118" s="1477"/>
      <c r="Z118" s="1477"/>
    </row>
    <row r="119" spans="1:26" hidden="1"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80"/>
      <c r="G119" s="1480"/>
      <c r="H119" s="1480"/>
      <c r="I119" s="1427" t="str">
        <f t="shared" si="9"/>
        <v/>
      </c>
      <c r="J119" s="1480"/>
      <c r="K119" s="1480" t="str">
        <f t="shared" si="10"/>
        <v/>
      </c>
      <c r="L119" s="905" t="s">
        <v>1198</v>
      </c>
      <c r="M119" s="1480">
        <v>189</v>
      </c>
      <c r="N119" s="1480"/>
      <c r="O119" s="1477" t="s">
        <v>1194</v>
      </c>
      <c r="P119" s="1477"/>
      <c r="Q119" s="1477"/>
      <c r="R119" s="1477"/>
      <c r="S119" s="1477"/>
      <c r="T119" s="1477"/>
      <c r="U119" s="1477"/>
      <c r="V119" s="1477"/>
      <c r="W119" s="1477"/>
      <c r="X119" s="1477"/>
      <c r="Y119" s="1477"/>
      <c r="Z119" s="1477"/>
    </row>
    <row r="120" spans="1:26" hidden="1" x14ac:dyDescent="0.25">
      <c r="A120" s="922" t="s">
        <v>1199</v>
      </c>
      <c r="B120" s="867" t="str">
        <f t="shared" ca="1" si="15"/>
        <v>U13</v>
      </c>
      <c r="C120" s="867" t="str">
        <f t="shared" ref="C120:C135" ca="1" si="16">_xlfn.IFNA(SUBSTITUTE(ADDRESS(1,MATCH(A120,INDIRECT("'"&amp;E120&amp;"'"&amp;"!A5:Z5"),0),4),1,""),"")</f>
        <v>U</v>
      </c>
      <c r="D120" s="867" t="s">
        <v>1372</v>
      </c>
      <c r="E120" s="867" t="s">
        <v>876</v>
      </c>
      <c r="F120" s="1480"/>
      <c r="G120" s="1480"/>
      <c r="H120" s="1480"/>
      <c r="I120" s="1427" t="str">
        <f t="shared" si="9"/>
        <v/>
      </c>
      <c r="J120" s="1480"/>
      <c r="K120" s="1480" t="str">
        <f t="shared" si="10"/>
        <v/>
      </c>
      <c r="L120" s="905" t="s">
        <v>1199</v>
      </c>
      <c r="M120" s="1480">
        <v>190</v>
      </c>
      <c r="N120" s="1480"/>
      <c r="O120" s="1477"/>
      <c r="P120" s="1477"/>
      <c r="Q120" s="1477"/>
      <c r="R120" s="1477"/>
      <c r="S120" s="1477"/>
      <c r="T120" s="1477"/>
      <c r="U120" s="1477"/>
      <c r="V120" s="1477"/>
      <c r="W120" s="1477"/>
      <c r="X120" s="1477"/>
      <c r="Y120" s="1477"/>
      <c r="Z120" s="1477"/>
    </row>
    <row r="121" spans="1:26" hidden="1" x14ac:dyDescent="0.25">
      <c r="A121" s="922" t="s">
        <v>1354</v>
      </c>
      <c r="B121" s="867" t="str">
        <f t="shared" ca="1" si="15"/>
        <v>V13</v>
      </c>
      <c r="C121" s="867" t="str">
        <f t="shared" ca="1" si="16"/>
        <v>V</v>
      </c>
      <c r="D121" s="867" t="s">
        <v>1372</v>
      </c>
      <c r="E121" s="867" t="s">
        <v>876</v>
      </c>
      <c r="F121" s="1480"/>
      <c r="G121" s="1480"/>
      <c r="H121" s="1480"/>
      <c r="I121" s="1427" t="str">
        <f t="shared" si="9"/>
        <v/>
      </c>
      <c r="J121" s="1480"/>
      <c r="K121" s="1480" t="str">
        <f t="shared" si="10"/>
        <v/>
      </c>
      <c r="L121" s="905" t="s">
        <v>1445</v>
      </c>
      <c r="M121" s="1480">
        <v>191</v>
      </c>
      <c r="N121" s="1480"/>
      <c r="O121" s="1477"/>
      <c r="P121" s="1477"/>
      <c r="Q121" s="1477"/>
      <c r="R121" s="1477"/>
      <c r="S121" s="1477"/>
      <c r="T121" s="1477"/>
      <c r="U121" s="1477"/>
      <c r="V121" s="1477"/>
      <c r="W121" s="1477"/>
      <c r="X121" s="1477"/>
      <c r="Y121" s="1477"/>
      <c r="Z121" s="1477"/>
    </row>
    <row r="122" spans="1:26" hidden="1" x14ac:dyDescent="0.25">
      <c r="A122" s="922" t="s">
        <v>1650</v>
      </c>
      <c r="B122" s="867" t="str">
        <f t="shared" ca="1" si="15"/>
        <v>W13</v>
      </c>
      <c r="C122" s="867" t="str">
        <f t="shared" ca="1" si="16"/>
        <v>W</v>
      </c>
      <c r="D122" s="867" t="s">
        <v>1372</v>
      </c>
      <c r="E122" s="867" t="s">
        <v>876</v>
      </c>
      <c r="F122" s="1480"/>
      <c r="G122" s="1480"/>
      <c r="H122" s="1480"/>
      <c r="I122" s="1427" t="str">
        <f t="shared" si="9"/>
        <v>Add or End Customer</v>
      </c>
      <c r="J122" s="1480" t="str">
        <f>IF(M122&lt;&gt;"",Q$1&amp;M122,"")</f>
        <v>F192</v>
      </c>
      <c r="K122" s="1480" t="str">
        <f t="shared" si="10"/>
        <v>Customer Inputs</v>
      </c>
      <c r="L122" s="905" t="s">
        <v>1650</v>
      </c>
      <c r="M122" s="1480">
        <v>192</v>
      </c>
      <c r="N122" s="1480"/>
      <c r="O122" s="1477"/>
      <c r="P122" s="1477"/>
      <c r="Q122" s="1477"/>
      <c r="R122" s="1477"/>
      <c r="S122" s="1477"/>
      <c r="T122" s="1477"/>
      <c r="U122" s="1477"/>
      <c r="V122" s="1477"/>
      <c r="W122" s="1477"/>
      <c r="X122" s="1477"/>
      <c r="Y122" s="1477"/>
      <c r="Z122" s="1477"/>
    </row>
    <row r="123" spans="1:26" hidden="1" x14ac:dyDescent="0.25">
      <c r="A123" s="917" t="s">
        <v>1192</v>
      </c>
      <c r="B123" s="867" t="str">
        <f ca="1">_xlfn.IFNA(_xlfn.CONCAT(SUBSTITUTE(ADDRESS(1,MATCH(A123,INDIRECT("'"&amp;E123&amp;"'"&amp;"!A5:Z5"),0),4),1,""),14),"")</f>
        <v>H14</v>
      </c>
      <c r="C123" s="867" t="str">
        <f t="shared" ca="1" si="16"/>
        <v>H</v>
      </c>
      <c r="D123" s="867" t="s">
        <v>1372</v>
      </c>
      <c r="E123" s="867" t="s">
        <v>876</v>
      </c>
      <c r="F123" s="1480"/>
      <c r="G123" s="1480"/>
      <c r="H123" s="1480"/>
      <c r="I123" s="1427" t="str">
        <f t="shared" si="9"/>
        <v>Pyramid Segment</v>
      </c>
      <c r="J123" s="1480" t="str">
        <f>IF(AND(P1229="",M123&lt;&gt;""),Q$1&amp;M123,"")</f>
        <v>F203</v>
      </c>
      <c r="K123" s="1480" t="str">
        <f t="shared" si="10"/>
        <v>Customer Inputs</v>
      </c>
      <c r="L123" s="867" t="s">
        <v>1192</v>
      </c>
      <c r="M123" s="1480">
        <v>203</v>
      </c>
      <c r="N123" s="1480"/>
      <c r="O123" s="1477"/>
      <c r="P123" s="1477"/>
      <c r="Q123" s="1477"/>
      <c r="R123" s="1477"/>
      <c r="S123" s="1477"/>
      <c r="T123" s="1477"/>
      <c r="U123" s="1477"/>
      <c r="V123" s="1477"/>
      <c r="W123" s="1477"/>
      <c r="X123" s="1477"/>
      <c r="Y123" s="1477"/>
      <c r="Z123" s="1477"/>
    </row>
    <row r="124" spans="1:26" hidden="1" x14ac:dyDescent="0.25">
      <c r="A124" s="918" t="s">
        <v>1272</v>
      </c>
      <c r="B124" s="867" t="str">
        <f t="shared" ref="B124:B132" ca="1" si="17">_xlfn.IFNA(_xlfn.CONCAT(SUBSTITUTE(ADDRESS(1,MATCH(A124,INDIRECT("'"&amp;E124&amp;"'"&amp;"!A5:Z5"),0),4),1,""),14),"")</f>
        <v>I14</v>
      </c>
      <c r="C124" s="867" t="str">
        <f t="shared" ca="1" si="16"/>
        <v>I</v>
      </c>
      <c r="D124" s="867" t="s">
        <v>1372</v>
      </c>
      <c r="E124" s="867" t="s">
        <v>876</v>
      </c>
      <c r="F124" s="1480"/>
      <c r="G124" s="1480"/>
      <c r="H124" s="1480"/>
      <c r="I124" s="1427" t="str">
        <f t="shared" si="9"/>
        <v>Agreement Annual Purchase Commitment</v>
      </c>
      <c r="J124" s="1480" t="str">
        <f>Q$1&amp;IF(Q124&lt;&gt;"",M124,M126)</f>
        <v>F207</v>
      </c>
      <c r="K124" s="1480" t="str">
        <f t="shared" si="10"/>
        <v>Customer Inputs</v>
      </c>
      <c r="L124" s="52" t="s">
        <v>1272</v>
      </c>
      <c r="M124" s="1480">
        <v>205</v>
      </c>
      <c r="N124" s="1480"/>
      <c r="O124" s="1477"/>
      <c r="P124" s="1477"/>
      <c r="Q124" s="1477"/>
      <c r="R124" s="1477"/>
      <c r="S124" s="1477"/>
      <c r="T124" s="1477"/>
      <c r="U124" s="1477"/>
      <c r="V124" s="1477"/>
      <c r="W124" s="1477"/>
      <c r="X124" s="1477"/>
      <c r="Y124" s="1477"/>
      <c r="Z124" s="1477"/>
    </row>
    <row r="125" spans="1:26" ht="30" hidden="1" x14ac:dyDescent="0.25">
      <c r="A125" s="917" t="s">
        <v>1273</v>
      </c>
      <c r="B125" s="867" t="str">
        <f t="shared" ca="1" si="17"/>
        <v>J14</v>
      </c>
      <c r="C125" s="867" t="str">
        <f t="shared" ca="1" si="16"/>
        <v>J</v>
      </c>
      <c r="D125" s="867" t="s">
        <v>1372</v>
      </c>
      <c r="E125" s="867" t="s">
        <v>876</v>
      </c>
      <c r="F125" s="1480"/>
      <c r="G125" s="1480"/>
      <c r="H125" s="1480"/>
      <c r="I125" s="1427" t="str">
        <f t="shared" si="9"/>
        <v>Agreement Deliveries Per Customer Unit Per Week</v>
      </c>
      <c r="J125" s="1480" t="str">
        <f>Q$1&amp;IF(Q125&lt;&gt;"",M125,M127)</f>
        <v>F208</v>
      </c>
      <c r="K125" s="1480" t="str">
        <f t="shared" si="10"/>
        <v>Customer Inputs</v>
      </c>
      <c r="L125" s="867" t="s">
        <v>1273</v>
      </c>
      <c r="M125" s="1480">
        <v>206</v>
      </c>
      <c r="N125" s="1480"/>
      <c r="O125" s="1477"/>
      <c r="P125" s="1477"/>
      <c r="Q125" s="1477"/>
      <c r="R125" s="1477"/>
      <c r="S125" s="1477"/>
      <c r="T125" s="1477"/>
      <c r="U125" s="1477"/>
      <c r="V125" s="1477"/>
      <c r="W125" s="1477"/>
      <c r="X125" s="1477"/>
      <c r="Y125" s="1477"/>
      <c r="Z125" s="1477"/>
    </row>
    <row r="126" spans="1:26" hidden="1"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80"/>
      <c r="G126" s="1480"/>
      <c r="H126" s="1480"/>
      <c r="I126" s="1427" t="str">
        <f t="shared" si="9"/>
        <v/>
      </c>
      <c r="J126" s="1480"/>
      <c r="K126" s="1480" t="str">
        <f t="shared" si="10"/>
        <v/>
      </c>
      <c r="L126" s="867" t="s">
        <v>1195</v>
      </c>
      <c r="M126" s="1480">
        <v>207</v>
      </c>
      <c r="N126" s="1480"/>
      <c r="O126" s="1477" t="s">
        <v>874</v>
      </c>
      <c r="P126" s="1477"/>
      <c r="Q126" s="1477"/>
      <c r="R126" s="1477"/>
      <c r="S126" s="1477"/>
      <c r="T126" s="1477"/>
      <c r="U126" s="1477"/>
      <c r="V126" s="1477"/>
      <c r="W126" s="1477"/>
      <c r="X126" s="1477"/>
      <c r="Y126" s="1477"/>
      <c r="Z126" s="1477"/>
    </row>
    <row r="127" spans="1:26" hidden="1"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80"/>
      <c r="G127" s="1480"/>
      <c r="H127" s="1480"/>
      <c r="I127" s="1427" t="str">
        <f t="shared" si="9"/>
        <v/>
      </c>
      <c r="J127" s="1480"/>
      <c r="K127" s="1480" t="str">
        <f t="shared" si="10"/>
        <v/>
      </c>
      <c r="L127" s="905" t="s">
        <v>1196</v>
      </c>
      <c r="M127" s="1480">
        <v>208</v>
      </c>
      <c r="N127" s="1480"/>
      <c r="O127" s="1477" t="s">
        <v>1193</v>
      </c>
      <c r="P127" s="1477"/>
      <c r="Q127" s="1477"/>
      <c r="R127" s="1477"/>
      <c r="S127" s="1477"/>
      <c r="T127" s="1477"/>
      <c r="U127" s="1477"/>
      <c r="V127" s="1477"/>
      <c r="W127" s="1477"/>
      <c r="X127" s="1477"/>
      <c r="Y127" s="1477"/>
      <c r="Z127" s="1477"/>
    </row>
    <row r="128" spans="1:26" hidden="1"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80"/>
      <c r="G128" s="1480"/>
      <c r="H128" s="1480"/>
      <c r="I128" s="1427" t="str">
        <f t="shared" si="9"/>
        <v/>
      </c>
      <c r="J128" s="1480"/>
      <c r="K128" s="1480" t="str">
        <f t="shared" si="10"/>
        <v/>
      </c>
      <c r="L128" s="905" t="s">
        <v>1197</v>
      </c>
      <c r="M128" s="1480">
        <v>209</v>
      </c>
      <c r="N128" s="1480"/>
      <c r="O128" s="1477" t="s">
        <v>1200</v>
      </c>
      <c r="P128" s="1477"/>
      <c r="Q128" s="1477"/>
      <c r="R128" s="1477"/>
      <c r="S128" s="1477"/>
      <c r="T128" s="1477"/>
      <c r="U128" s="1477"/>
      <c r="V128" s="1477"/>
      <c r="W128" s="1477"/>
      <c r="X128" s="1477"/>
      <c r="Y128" s="1477"/>
      <c r="Z128" s="1477"/>
    </row>
    <row r="129" spans="1:26" hidden="1"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80"/>
      <c r="G129" s="1480"/>
      <c r="H129" s="1480"/>
      <c r="I129" s="1427" t="str">
        <f t="shared" si="9"/>
        <v/>
      </c>
      <c r="J129" s="1480"/>
      <c r="K129" s="1480" t="str">
        <f t="shared" si="10"/>
        <v/>
      </c>
      <c r="L129" s="905" t="s">
        <v>1198</v>
      </c>
      <c r="M129" s="1480">
        <v>210</v>
      </c>
      <c r="N129" s="1480"/>
      <c r="O129" s="1477" t="s">
        <v>1194</v>
      </c>
      <c r="P129" s="1477"/>
      <c r="Q129" s="1477"/>
      <c r="R129" s="1477"/>
      <c r="S129" s="1477"/>
      <c r="T129" s="1477"/>
      <c r="U129" s="1477"/>
      <c r="V129" s="1477"/>
      <c r="W129" s="1477"/>
      <c r="X129" s="1477"/>
      <c r="Y129" s="1477"/>
      <c r="Z129" s="1477"/>
    </row>
    <row r="130" spans="1:26" hidden="1" x14ac:dyDescent="0.25">
      <c r="A130" s="919" t="s">
        <v>1199</v>
      </c>
      <c r="B130" s="867" t="str">
        <f t="shared" ca="1" si="17"/>
        <v>U14</v>
      </c>
      <c r="C130" s="867" t="str">
        <f t="shared" ca="1" si="16"/>
        <v>U</v>
      </c>
      <c r="D130" s="867" t="s">
        <v>1372</v>
      </c>
      <c r="E130" s="867" t="s">
        <v>876</v>
      </c>
      <c r="F130" s="1480"/>
      <c r="G130" s="1480"/>
      <c r="H130" s="1480"/>
      <c r="I130" s="1427" t="str">
        <f t="shared" si="9"/>
        <v/>
      </c>
      <c r="J130" s="1480"/>
      <c r="K130" s="1480" t="str">
        <f t="shared" si="10"/>
        <v/>
      </c>
      <c r="L130" s="905" t="s">
        <v>1199</v>
      </c>
      <c r="M130" s="1480">
        <v>211</v>
      </c>
      <c r="N130" s="1480"/>
      <c r="O130" s="1477"/>
      <c r="P130" s="1477"/>
      <c r="Q130" s="1477"/>
      <c r="R130" s="1477"/>
      <c r="S130" s="1477"/>
      <c r="T130" s="1477"/>
      <c r="U130" s="1477"/>
      <c r="V130" s="1477"/>
      <c r="W130" s="1477"/>
      <c r="X130" s="1477"/>
      <c r="Y130" s="1477"/>
      <c r="Z130" s="1477"/>
    </row>
    <row r="131" spans="1:26" hidden="1" x14ac:dyDescent="0.25">
      <c r="A131" s="919" t="s">
        <v>1354</v>
      </c>
      <c r="B131" s="867" t="str">
        <f t="shared" ca="1" si="17"/>
        <v>V14</v>
      </c>
      <c r="C131" s="867" t="str">
        <f t="shared" ca="1" si="16"/>
        <v>V</v>
      </c>
      <c r="D131" s="867" t="s">
        <v>1372</v>
      </c>
      <c r="E131" s="867" t="s">
        <v>876</v>
      </c>
      <c r="F131" s="1480"/>
      <c r="G131" s="1480"/>
      <c r="H131" s="1480"/>
      <c r="I131" s="1427" t="str">
        <f t="shared" si="9"/>
        <v/>
      </c>
      <c r="J131" s="1480"/>
      <c r="K131" s="1480" t="str">
        <f t="shared" si="10"/>
        <v/>
      </c>
      <c r="L131" s="905" t="s">
        <v>1445</v>
      </c>
      <c r="M131" s="1480">
        <v>212</v>
      </c>
      <c r="N131" s="1480"/>
      <c r="O131" s="1477"/>
      <c r="P131" s="1477"/>
      <c r="Q131" s="1477"/>
      <c r="R131" s="1477"/>
      <c r="S131" s="1477"/>
      <c r="T131" s="1477"/>
      <c r="U131" s="1477"/>
      <c r="V131" s="1477"/>
      <c r="W131" s="1477"/>
      <c r="X131" s="1477"/>
      <c r="Y131" s="1477"/>
      <c r="Z131" s="1477"/>
    </row>
    <row r="132" spans="1:26" hidden="1" x14ac:dyDescent="0.25">
      <c r="A132" s="919" t="s">
        <v>1650</v>
      </c>
      <c r="B132" s="867" t="str">
        <f t="shared" ca="1" si="17"/>
        <v>W14</v>
      </c>
      <c r="C132" s="867" t="str">
        <f t="shared" ca="1" si="16"/>
        <v>W</v>
      </c>
      <c r="D132" s="867" t="s">
        <v>1372</v>
      </c>
      <c r="E132" s="867" t="s">
        <v>876</v>
      </c>
      <c r="F132" s="1480"/>
      <c r="G132" s="1480"/>
      <c r="H132" s="1480"/>
      <c r="I132" s="1427" t="str">
        <f t="shared" ref="I132:I195" si="18">IF(J132&lt;&gt;"",A132,"")</f>
        <v>Add or End Customer</v>
      </c>
      <c r="J132" s="1480" t="str">
        <f t="shared" ref="J132:J166" si="19">IF(M132&lt;&gt;"",Q$1&amp;M132,"")</f>
        <v>F213</v>
      </c>
      <c r="K132" s="1480" t="str">
        <f t="shared" ref="K132:K195" si="20">IF(J132&lt;&gt;"",E132,"")</f>
        <v>Customer Inputs</v>
      </c>
      <c r="L132" s="905" t="s">
        <v>1650</v>
      </c>
      <c r="M132" s="1480">
        <v>213</v>
      </c>
      <c r="N132" s="1480"/>
      <c r="O132" s="1477"/>
      <c r="P132" s="1477"/>
      <c r="Q132" s="1477"/>
      <c r="R132" s="1477"/>
      <c r="S132" s="1477"/>
      <c r="T132" s="1477"/>
      <c r="U132" s="1477"/>
      <c r="V132" s="1477"/>
      <c r="W132" s="1477"/>
      <c r="X132" s="1477"/>
      <c r="Y132" s="1477"/>
      <c r="Z132" s="1477"/>
    </row>
    <row r="133" spans="1:26" hidden="1" x14ac:dyDescent="0.25">
      <c r="A133" s="920" t="s">
        <v>1192</v>
      </c>
      <c r="B133" s="867" t="str">
        <f ca="1">_xlfn.IFNA(_xlfn.CONCAT(SUBSTITUTE(ADDRESS(1,MATCH(A133,INDIRECT("'"&amp;E133&amp;"'"&amp;"!A5:Z5"),0),4),1,""),15),"")</f>
        <v>H15</v>
      </c>
      <c r="C133" s="867" t="str">
        <f t="shared" ca="1" si="16"/>
        <v>H</v>
      </c>
      <c r="D133" s="867" t="s">
        <v>1372</v>
      </c>
      <c r="E133" s="867" t="s">
        <v>876</v>
      </c>
      <c r="F133" s="1480"/>
      <c r="G133" s="1480"/>
      <c r="H133" s="1480"/>
      <c r="I133" s="1427" t="str">
        <f t="shared" si="18"/>
        <v>Pyramid Segment</v>
      </c>
      <c r="J133" s="1480" t="str">
        <f>IF(AND(P1230="",M133&lt;&gt;""),Q$1&amp;M133,"")</f>
        <v>F224</v>
      </c>
      <c r="K133" s="1480" t="str">
        <f t="shared" si="20"/>
        <v>Customer Inputs</v>
      </c>
      <c r="L133" s="867" t="s">
        <v>1192</v>
      </c>
      <c r="M133" s="1480">
        <v>224</v>
      </c>
      <c r="N133" s="1480"/>
      <c r="O133" s="1477"/>
      <c r="P133" s="1477"/>
      <c r="Q133" s="1477"/>
      <c r="R133" s="1477"/>
      <c r="S133" s="1477"/>
      <c r="T133" s="1477"/>
      <c r="U133" s="1477"/>
      <c r="V133" s="1477"/>
      <c r="W133" s="1477"/>
      <c r="X133" s="1477"/>
      <c r="Y133" s="1477"/>
      <c r="Z133" s="1477"/>
    </row>
    <row r="134" spans="1:26" hidden="1" x14ac:dyDescent="0.25">
      <c r="A134" s="921" t="s">
        <v>1272</v>
      </c>
      <c r="B134" s="867" t="str">
        <f ca="1">_xlfn.IFNA(_xlfn.CONCAT(SUBSTITUTE(ADDRESS(1,MATCH(A134,INDIRECT("'"&amp;E134&amp;"'"&amp;"!A5:Z5"),0),4),1,""),15),"")</f>
        <v>I15</v>
      </c>
      <c r="C134" s="867" t="str">
        <f t="shared" ca="1" si="16"/>
        <v>I</v>
      </c>
      <c r="D134" s="867" t="s">
        <v>1372</v>
      </c>
      <c r="E134" s="867" t="s">
        <v>876</v>
      </c>
      <c r="F134" s="1480"/>
      <c r="G134" s="1480"/>
      <c r="H134" s="1480"/>
      <c r="I134" s="1427" t="str">
        <f t="shared" si="18"/>
        <v>Agreement Annual Purchase Commitment</v>
      </c>
      <c r="J134" s="1480" t="str">
        <f>Q$1&amp;IF(Q134&lt;&gt;"",M134,M136)</f>
        <v>F228</v>
      </c>
      <c r="K134" s="1480" t="str">
        <f t="shared" si="20"/>
        <v>Customer Inputs</v>
      </c>
      <c r="L134" s="52" t="s">
        <v>1272</v>
      </c>
      <c r="M134" s="1480">
        <v>226</v>
      </c>
      <c r="N134" s="1480"/>
      <c r="O134" s="1477"/>
      <c r="P134" s="1477"/>
      <c r="Q134" s="1477"/>
      <c r="R134" s="1477"/>
      <c r="S134" s="1477"/>
      <c r="T134" s="1477"/>
      <c r="U134" s="1477"/>
      <c r="V134" s="1477"/>
      <c r="W134" s="1477"/>
      <c r="X134" s="1477"/>
      <c r="Y134" s="1477"/>
      <c r="Z134" s="1477"/>
    </row>
    <row r="135" spans="1:26" ht="30" hidden="1" x14ac:dyDescent="0.25">
      <c r="A135" s="920" t="s">
        <v>1273</v>
      </c>
      <c r="B135" s="867" t="str">
        <f ca="1">_xlfn.IFNA(_xlfn.CONCAT(SUBSTITUTE(ADDRESS(1,MATCH(A135,INDIRECT("'"&amp;E135&amp;"'"&amp;"!A5:Z5"),0),4),1,""),15),"")</f>
        <v>J15</v>
      </c>
      <c r="C135" s="867" t="str">
        <f t="shared" ca="1" si="16"/>
        <v>J</v>
      </c>
      <c r="D135" s="867" t="s">
        <v>1372</v>
      </c>
      <c r="E135" s="867" t="s">
        <v>876</v>
      </c>
      <c r="F135" s="1480"/>
      <c r="G135" s="1480"/>
      <c r="H135" s="1480"/>
      <c r="I135" s="1427" t="str">
        <f t="shared" si="18"/>
        <v>Agreement Deliveries Per Customer Unit Per Week</v>
      </c>
      <c r="J135" s="1480" t="str">
        <f>Q$1&amp;IF(Q135&lt;&gt;"",M135,M137)</f>
        <v>F229</v>
      </c>
      <c r="K135" s="1480" t="str">
        <f t="shared" si="20"/>
        <v>Customer Inputs</v>
      </c>
      <c r="L135" s="867" t="s">
        <v>1273</v>
      </c>
      <c r="M135" s="1480">
        <v>227</v>
      </c>
      <c r="N135" s="1480"/>
      <c r="O135" s="1477"/>
      <c r="P135" s="1477"/>
      <c r="Q135" s="1477"/>
      <c r="R135" s="1477"/>
      <c r="S135" s="1477"/>
      <c r="T135" s="1477"/>
      <c r="U135" s="1477"/>
      <c r="V135" s="1477"/>
      <c r="W135" s="1477"/>
      <c r="X135" s="1477"/>
      <c r="Y135" s="1477"/>
      <c r="Z135" s="1477"/>
    </row>
    <row r="136" spans="1:26" hidden="1"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80"/>
      <c r="G136" s="1480"/>
      <c r="H136" s="1480"/>
      <c r="I136" s="1427" t="str">
        <f t="shared" si="18"/>
        <v/>
      </c>
      <c r="J136" s="1480"/>
      <c r="K136" s="1480" t="str">
        <f t="shared" si="20"/>
        <v/>
      </c>
      <c r="L136" s="867" t="s">
        <v>1195</v>
      </c>
      <c r="M136" s="1480">
        <v>228</v>
      </c>
      <c r="N136" s="1480"/>
      <c r="O136" s="1477" t="s">
        <v>874</v>
      </c>
      <c r="P136" s="1477"/>
      <c r="Q136" s="1477"/>
      <c r="R136" s="1477"/>
      <c r="S136" s="1477"/>
      <c r="T136" s="1477"/>
      <c r="U136" s="1477"/>
      <c r="V136" s="1477"/>
      <c r="W136" s="1477"/>
      <c r="X136" s="1477"/>
      <c r="Y136" s="1477"/>
      <c r="Z136" s="1477"/>
    </row>
    <row r="137" spans="1:26" hidden="1"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80"/>
      <c r="G137" s="1480"/>
      <c r="H137" s="1480"/>
      <c r="I137" s="1427" t="str">
        <f t="shared" si="18"/>
        <v/>
      </c>
      <c r="J137" s="1480"/>
      <c r="K137" s="1480" t="str">
        <f t="shared" si="20"/>
        <v/>
      </c>
      <c r="L137" s="905" t="s">
        <v>1196</v>
      </c>
      <c r="M137" s="1480">
        <v>229</v>
      </c>
      <c r="N137" s="1480"/>
      <c r="O137" s="1477" t="s">
        <v>1193</v>
      </c>
      <c r="P137" s="1477"/>
      <c r="Q137" s="1477"/>
      <c r="R137" s="1477"/>
      <c r="S137" s="1477"/>
      <c r="T137" s="1477"/>
      <c r="U137" s="1477"/>
      <c r="V137" s="1477"/>
      <c r="W137" s="1477"/>
      <c r="X137" s="1477"/>
      <c r="Y137" s="1477"/>
      <c r="Z137" s="1477"/>
    </row>
    <row r="138" spans="1:26" hidden="1"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80"/>
      <c r="G138" s="1480"/>
      <c r="H138" s="1480"/>
      <c r="I138" s="1427" t="str">
        <f t="shared" si="18"/>
        <v/>
      </c>
      <c r="J138" s="1480"/>
      <c r="K138" s="1480" t="str">
        <f t="shared" si="20"/>
        <v/>
      </c>
      <c r="L138" s="905" t="s">
        <v>1197</v>
      </c>
      <c r="M138" s="1480">
        <v>230</v>
      </c>
      <c r="N138" s="1480"/>
      <c r="O138" s="1477" t="s">
        <v>1200</v>
      </c>
      <c r="P138" s="1477"/>
      <c r="Q138" s="1477"/>
      <c r="R138" s="1477"/>
      <c r="S138" s="1477"/>
      <c r="T138" s="1477"/>
      <c r="U138" s="1477"/>
      <c r="V138" s="1477"/>
      <c r="W138" s="1477"/>
      <c r="X138" s="1477"/>
      <c r="Y138" s="1477"/>
      <c r="Z138" s="1477"/>
    </row>
    <row r="139" spans="1:26" hidden="1"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80"/>
      <c r="G139" s="1480"/>
      <c r="H139" s="1480"/>
      <c r="I139" s="1427" t="str">
        <f t="shared" si="18"/>
        <v/>
      </c>
      <c r="J139" s="1480"/>
      <c r="K139" s="1480" t="str">
        <f t="shared" si="20"/>
        <v/>
      </c>
      <c r="L139" s="905" t="s">
        <v>1198</v>
      </c>
      <c r="M139" s="1480">
        <v>231</v>
      </c>
      <c r="N139" s="1480"/>
      <c r="O139" s="1477" t="s">
        <v>1194</v>
      </c>
      <c r="P139" s="1477"/>
      <c r="Q139" s="1477"/>
      <c r="R139" s="1477"/>
      <c r="S139" s="1477"/>
      <c r="T139" s="1477"/>
      <c r="U139" s="1477"/>
      <c r="V139" s="1477"/>
      <c r="W139" s="1477"/>
      <c r="X139" s="1477"/>
      <c r="Y139" s="1477"/>
      <c r="Z139" s="1477"/>
    </row>
    <row r="140" spans="1:26" hidden="1"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80"/>
      <c r="G140" s="1480"/>
      <c r="H140" s="1480"/>
      <c r="I140" s="1427" t="str">
        <f t="shared" si="18"/>
        <v/>
      </c>
      <c r="J140" s="1480"/>
      <c r="K140" s="1480" t="str">
        <f t="shared" si="20"/>
        <v/>
      </c>
      <c r="L140" s="905" t="s">
        <v>1199</v>
      </c>
      <c r="M140" s="1480">
        <v>232</v>
      </c>
      <c r="N140" s="1480"/>
      <c r="O140" s="1477"/>
      <c r="P140" s="1477"/>
      <c r="Q140" s="1477"/>
      <c r="R140" s="1477"/>
      <c r="S140" s="1477"/>
      <c r="T140" s="1477"/>
      <c r="U140" s="1477"/>
      <c r="V140" s="1477"/>
      <c r="W140" s="1477"/>
      <c r="X140" s="1477"/>
      <c r="Y140" s="1477"/>
      <c r="Z140" s="1477"/>
    </row>
    <row r="141" spans="1:26" hidden="1"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80"/>
      <c r="G141" s="1480"/>
      <c r="H141" s="1480"/>
      <c r="I141" s="1427" t="str">
        <f t="shared" si="18"/>
        <v/>
      </c>
      <c r="J141" s="1480"/>
      <c r="K141" s="1480" t="str">
        <f t="shared" si="20"/>
        <v/>
      </c>
      <c r="L141" s="905" t="s">
        <v>1445</v>
      </c>
      <c r="M141" s="1480">
        <v>233</v>
      </c>
      <c r="N141" s="1480"/>
      <c r="O141" s="1477"/>
      <c r="P141" s="1477"/>
      <c r="Q141" s="1477"/>
      <c r="R141" s="1477"/>
      <c r="S141" s="1477"/>
      <c r="T141" s="1477"/>
      <c r="U141" s="1477"/>
      <c r="V141" s="1477"/>
      <c r="W141" s="1477"/>
      <c r="X141" s="1477"/>
      <c r="Y141" s="1477"/>
      <c r="Z141" s="1477"/>
    </row>
    <row r="142" spans="1:26" hidden="1"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80"/>
      <c r="G142" s="1480"/>
      <c r="H142" s="1480"/>
      <c r="I142" s="1427" t="str">
        <f t="shared" si="18"/>
        <v>Add or End Customer</v>
      </c>
      <c r="J142" s="1480" t="str">
        <f t="shared" si="19"/>
        <v>F234</v>
      </c>
      <c r="K142" s="1480" t="str">
        <f t="shared" si="20"/>
        <v>Customer Inputs</v>
      </c>
      <c r="L142" s="905" t="s">
        <v>1650</v>
      </c>
      <c r="M142" s="1480">
        <v>234</v>
      </c>
      <c r="N142" s="1480"/>
      <c r="O142" s="1477"/>
      <c r="P142" s="1477"/>
      <c r="Q142" s="1477"/>
      <c r="R142" s="1477"/>
      <c r="S142" s="1477"/>
      <c r="T142" s="1477"/>
      <c r="U142" s="1477"/>
      <c r="V142" s="1477"/>
      <c r="W142" s="1477"/>
      <c r="X142" s="1477"/>
      <c r="Y142" s="1477"/>
      <c r="Z142" s="1477"/>
    </row>
    <row r="143" spans="1:26" hidden="1" x14ac:dyDescent="0.25">
      <c r="A143" s="1480"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80"/>
      <c r="G143" s="1480"/>
      <c r="H143" s="1480"/>
      <c r="I143" s="1427" t="str">
        <f t="shared" si="18"/>
        <v>Minimum Delivery Selection</v>
      </c>
      <c r="J143" s="1480" t="str">
        <f t="shared" si="19"/>
        <v>F12</v>
      </c>
      <c r="K143" s="1480" t="str">
        <f t="shared" si="20"/>
        <v>Agreement Worksheet</v>
      </c>
      <c r="L143" s="1480" t="s">
        <v>1226</v>
      </c>
      <c r="M143" s="1480">
        <v>12</v>
      </c>
      <c r="N143" s="1480"/>
      <c r="O143" s="1477"/>
      <c r="P143" s="1477"/>
      <c r="Q143" s="1477"/>
      <c r="R143" s="1477"/>
      <c r="S143" s="1477"/>
      <c r="T143" s="1477"/>
      <c r="U143" s="1477"/>
      <c r="V143" s="1477"/>
      <c r="W143" s="1477"/>
      <c r="X143" s="1477"/>
      <c r="Y143" s="1477"/>
      <c r="Z143" s="1477"/>
    </row>
    <row r="144" spans="1:26" hidden="1" x14ac:dyDescent="0.25">
      <c r="A144" s="923"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7" t="str">
        <f t="shared" si="18"/>
        <v>Fuel Surcharge Included</v>
      </c>
      <c r="J144" s="1480" t="str">
        <f t="shared" si="19"/>
        <v>F18</v>
      </c>
      <c r="K144" s="1480" t="str">
        <f t="shared" si="20"/>
        <v>Agreement Worksheet</v>
      </c>
      <c r="L144" s="923" t="s">
        <v>1230</v>
      </c>
      <c r="M144" s="1480">
        <v>18</v>
      </c>
      <c r="N144" s="1480"/>
      <c r="O144" s="1477"/>
      <c r="P144" s="1477"/>
      <c r="Q144" s="1477"/>
      <c r="R144" s="1477"/>
      <c r="S144" s="1477"/>
      <c r="T144" s="1477"/>
      <c r="U144" s="1477"/>
      <c r="V144" s="1477"/>
      <c r="W144" s="1477"/>
      <c r="X144" s="1477"/>
      <c r="Y144" s="1477"/>
      <c r="Z144" s="1477"/>
    </row>
    <row r="145" spans="1:26" hidden="1" x14ac:dyDescent="0.25">
      <c r="A145" s="923"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7" t="str">
        <f t="shared" si="18"/>
        <v>Fuel Surcharge Per</v>
      </c>
      <c r="J145" s="1480" t="str">
        <f t="shared" si="19"/>
        <v>F19</v>
      </c>
      <c r="K145" s="1480" t="str">
        <f t="shared" si="20"/>
        <v>Agreement Worksheet</v>
      </c>
      <c r="L145" s="923" t="s">
        <v>1231</v>
      </c>
      <c r="M145" s="1480">
        <v>19</v>
      </c>
      <c r="N145" s="1480"/>
      <c r="O145" s="1477"/>
      <c r="P145" s="1477"/>
      <c r="Q145" s="1477"/>
      <c r="R145" s="1477"/>
      <c r="S145" s="1477"/>
      <c r="T145" s="1477"/>
      <c r="U145" s="1477"/>
      <c r="V145" s="1477"/>
      <c r="W145" s="1477"/>
      <c r="X145" s="1477"/>
      <c r="Y145" s="1477"/>
      <c r="Z145" s="1477"/>
    </row>
    <row r="146" spans="1:26" hidden="1" x14ac:dyDescent="0.25">
      <c r="A146" s="923"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3" t="s">
        <v>1253</v>
      </c>
      <c r="G146" s="1480" t="s">
        <v>1368</v>
      </c>
      <c r="H146" s="1480" t="s">
        <v>1248</v>
      </c>
      <c r="I146" s="1427" t="str">
        <f t="shared" si="18"/>
        <v>Audit Age of Invoices</v>
      </c>
      <c r="J146" s="1480" t="str">
        <f t="shared" si="19"/>
        <v>F509</v>
      </c>
      <c r="K146" s="1480" t="str">
        <f t="shared" si="20"/>
        <v>Agreement Worksheet</v>
      </c>
      <c r="L146" s="923" t="s">
        <v>1253</v>
      </c>
      <c r="M146" s="1480">
        <v>509</v>
      </c>
      <c r="N146" s="1480"/>
      <c r="O146" s="1477"/>
      <c r="P146" s="1477"/>
      <c r="Q146" s="1477"/>
      <c r="R146" s="1477"/>
      <c r="S146" s="1477"/>
      <c r="T146" s="1477"/>
      <c r="U146" s="1477"/>
      <c r="V146" s="1477"/>
      <c r="W146" s="1477"/>
      <c r="X146" s="1477"/>
      <c r="Y146" s="1477"/>
      <c r="Z146" s="1477"/>
    </row>
    <row r="147" spans="1:26" hidden="1" x14ac:dyDescent="0.25">
      <c r="A147" s="923"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3" t="s">
        <v>1250</v>
      </c>
      <c r="G147" s="1480" t="s">
        <v>1370</v>
      </c>
      <c r="H147" s="1480" t="s">
        <v>1248</v>
      </c>
      <c r="I147" s="1427" t="str">
        <f t="shared" si="18"/>
        <v>Audit Frequency Code</v>
      </c>
      <c r="J147" s="1480" t="str">
        <f t="shared" si="19"/>
        <v>F510</v>
      </c>
      <c r="K147" s="1480" t="str">
        <f t="shared" si="20"/>
        <v>Agreement Worksheet</v>
      </c>
      <c r="L147" s="923" t="s">
        <v>1250</v>
      </c>
      <c r="M147" s="1480">
        <v>510</v>
      </c>
      <c r="N147" s="1480"/>
      <c r="O147" s="1477"/>
      <c r="P147" s="1477"/>
      <c r="Q147" s="1477"/>
      <c r="R147" s="1477"/>
      <c r="S147" s="1477"/>
      <c r="T147" s="1477"/>
      <c r="U147" s="1477"/>
      <c r="V147" s="1477"/>
      <c r="W147" s="1477"/>
      <c r="X147" s="1477"/>
      <c r="Y147" s="1477"/>
      <c r="Z147" s="1477"/>
    </row>
    <row r="148" spans="1:26" hidden="1" x14ac:dyDescent="0.25">
      <c r="A148" s="923"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3" t="s">
        <v>1251</v>
      </c>
      <c r="G148" s="1480" t="s">
        <v>1385</v>
      </c>
      <c r="H148" s="1480" t="s">
        <v>1248</v>
      </c>
      <c r="I148" s="1427" t="str">
        <f t="shared" si="18"/>
        <v>Audit Nbr of Invoice Line Items</v>
      </c>
      <c r="J148" s="1480" t="str">
        <f t="shared" si="19"/>
        <v>F511</v>
      </c>
      <c r="K148" s="1480" t="str">
        <f t="shared" si="20"/>
        <v>Agreement Worksheet</v>
      </c>
      <c r="L148" s="923" t="s">
        <v>1251</v>
      </c>
      <c r="M148" s="1480">
        <v>511</v>
      </c>
      <c r="N148" s="1480"/>
      <c r="O148" s="1477"/>
      <c r="P148" s="1477"/>
      <c r="Q148" s="1477"/>
      <c r="R148" s="1477"/>
      <c r="S148" s="1477"/>
      <c r="T148" s="1477"/>
      <c r="U148" s="1477"/>
      <c r="V148" s="1477"/>
      <c r="W148" s="1477"/>
      <c r="X148" s="1477"/>
      <c r="Y148" s="1477"/>
      <c r="Z148" s="1477"/>
    </row>
    <row r="149" spans="1:26" hidden="1" x14ac:dyDescent="0.25">
      <c r="A149" s="923"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3" t="s">
        <v>1254</v>
      </c>
      <c r="G149" s="1480" t="s">
        <v>659</v>
      </c>
      <c r="H149" s="1480" t="s">
        <v>1248</v>
      </c>
      <c r="I149" s="1427" t="str">
        <f t="shared" si="18"/>
        <v>CPI ECI</v>
      </c>
      <c r="J149" s="1480" t="str">
        <f t="shared" si="19"/>
        <v>F512</v>
      </c>
      <c r="K149" s="1480" t="str">
        <f t="shared" si="20"/>
        <v>Agreement Worksheet</v>
      </c>
      <c r="L149" s="923" t="s">
        <v>1254</v>
      </c>
      <c r="M149" s="1480">
        <v>512</v>
      </c>
      <c r="N149" s="1480"/>
      <c r="O149" s="1477"/>
      <c r="P149" s="1477"/>
      <c r="Q149" s="1477"/>
      <c r="R149" s="1477"/>
      <c r="S149" s="1477"/>
      <c r="T149" s="1477"/>
      <c r="U149" s="1477"/>
      <c r="V149" s="1477"/>
      <c r="W149" s="1477"/>
      <c r="X149" s="1477"/>
      <c r="Y149" s="1477"/>
      <c r="Z149" s="1477"/>
    </row>
    <row r="150" spans="1:26" hidden="1" x14ac:dyDescent="0.25">
      <c r="A150" s="923"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3" t="s">
        <v>1252</v>
      </c>
      <c r="G150" s="1480" t="s">
        <v>1371</v>
      </c>
      <c r="H150" s="1480" t="s">
        <v>1248</v>
      </c>
      <c r="I150" s="1427" t="str">
        <f t="shared" si="18"/>
        <v>Margin Erosion Rate</v>
      </c>
      <c r="J150" s="1480" t="str">
        <f t="shared" si="19"/>
        <v>F513</v>
      </c>
      <c r="K150" s="1480" t="str">
        <f t="shared" si="20"/>
        <v>Agreement Worksheet</v>
      </c>
      <c r="L150" s="923" t="s">
        <v>1252</v>
      </c>
      <c r="M150" s="1480">
        <v>513</v>
      </c>
      <c r="N150" s="1480"/>
      <c r="O150" s="1477"/>
      <c r="P150" s="1477"/>
      <c r="Q150" s="1477"/>
      <c r="R150" s="1477"/>
      <c r="S150" s="1477"/>
      <c r="T150" s="1477"/>
      <c r="U150" s="1477"/>
      <c r="V150" s="1477"/>
      <c r="W150" s="1477"/>
      <c r="X150" s="1477"/>
      <c r="Y150" s="1477"/>
      <c r="Z150" s="1477"/>
    </row>
    <row r="151" spans="1:26" hidden="1" x14ac:dyDescent="0.25">
      <c r="A151" s="923"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7" t="str">
        <f t="shared" si="18"/>
        <v>Standard Agreement</v>
      </c>
      <c r="J151" s="1480" t="str">
        <f t="shared" si="19"/>
        <v>F516</v>
      </c>
      <c r="K151" s="1480" t="str">
        <f t="shared" si="20"/>
        <v>Agreement Worksheet</v>
      </c>
      <c r="L151" s="923" t="s">
        <v>1213</v>
      </c>
      <c r="M151" s="1480">
        <v>516</v>
      </c>
      <c r="N151" s="1480"/>
      <c r="O151" s="1477"/>
      <c r="P151" s="1477"/>
      <c r="Q151" s="1477"/>
      <c r="R151" s="1477"/>
      <c r="S151" s="1477"/>
      <c r="T151" s="1477"/>
      <c r="U151" s="1477"/>
      <c r="V151" s="1477"/>
      <c r="W151" s="1477"/>
      <c r="X151" s="1477"/>
      <c r="Y151" s="1477"/>
      <c r="Z151" s="1477"/>
    </row>
    <row r="152" spans="1:26" hidden="1" x14ac:dyDescent="0.25">
      <c r="A152" s="923"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7" t="str">
        <f t="shared" si="18"/>
        <v>Agreement Annual Purchase Commitment</v>
      </c>
      <c r="J152" s="1480" t="str">
        <f t="shared" si="19"/>
        <v>F20</v>
      </c>
      <c r="K152" s="1480" t="str">
        <f t="shared" si="20"/>
        <v>Agreement Worksheet</v>
      </c>
      <c r="L152" s="904" t="s">
        <v>1272</v>
      </c>
      <c r="M152" s="1480">
        <v>20</v>
      </c>
      <c r="N152" s="1480"/>
      <c r="O152" s="1477"/>
      <c r="P152" s="1477"/>
      <c r="Q152" s="1477"/>
      <c r="R152" s="1477"/>
      <c r="S152" s="1477"/>
      <c r="T152" s="1477"/>
      <c r="U152" s="1477"/>
      <c r="V152" s="1477"/>
      <c r="W152" s="1477"/>
      <c r="X152" s="1477"/>
      <c r="Y152" s="1477"/>
      <c r="Z152" s="1477"/>
    </row>
    <row r="153" spans="1:26" hidden="1" x14ac:dyDescent="0.25">
      <c r="A153" s="923"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24" t="s">
        <v>1212</v>
      </c>
      <c r="G153" s="867" t="s">
        <v>1376</v>
      </c>
      <c r="H153" s="52" t="s">
        <v>1847</v>
      </c>
      <c r="I153" s="1427" t="str">
        <f t="shared" si="18"/>
        <v>Multi Market Flag</v>
      </c>
      <c r="J153" s="1480" t="str">
        <f t="shared" si="19"/>
        <v>F21</v>
      </c>
      <c r="K153" s="1480" t="str">
        <f t="shared" si="20"/>
        <v>Agreement Worksheet</v>
      </c>
      <c r="L153" s="923" t="s">
        <v>1212</v>
      </c>
      <c r="M153" s="1480">
        <v>21</v>
      </c>
      <c r="N153" s="1480"/>
      <c r="O153" s="1477"/>
      <c r="P153" s="1477"/>
      <c r="Q153" s="1477"/>
      <c r="R153" s="1477"/>
      <c r="S153" s="1477"/>
      <c r="T153" s="1477"/>
      <c r="U153" s="1477"/>
      <c r="V153" s="1477"/>
      <c r="W153" s="1477"/>
      <c r="X153" s="1477"/>
      <c r="Y153" s="1477"/>
      <c r="Z153" s="1477"/>
    </row>
    <row r="154" spans="1:26" hidden="1" x14ac:dyDescent="0.25">
      <c r="A154" s="923"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7" t="str">
        <f t="shared" si="18"/>
        <v>Lead Market</v>
      </c>
      <c r="J154" s="1480" t="str">
        <f t="shared" si="19"/>
        <v>F22</v>
      </c>
      <c r="K154" s="1480" t="str">
        <f t="shared" si="20"/>
        <v>Agreement Worksheet</v>
      </c>
      <c r="L154" s="923" t="s">
        <v>1210</v>
      </c>
      <c r="M154" s="1480">
        <v>22</v>
      </c>
      <c r="N154" s="1480"/>
      <c r="O154" s="1477"/>
      <c r="P154" s="1477"/>
      <c r="Q154" s="1477"/>
      <c r="R154" s="1477"/>
      <c r="S154" s="1477"/>
      <c r="T154" s="1477"/>
      <c r="U154" s="1477"/>
      <c r="V154" s="1477"/>
      <c r="W154" s="1477"/>
      <c r="X154" s="1477"/>
      <c r="Y154" s="1477"/>
      <c r="Z154" s="1477"/>
    </row>
    <row r="155" spans="1:26" hidden="1" x14ac:dyDescent="0.25">
      <c r="A155" s="923"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7" t="str">
        <f t="shared" si="18"/>
        <v>Agreement Sub Classification</v>
      </c>
      <c r="J155" s="1480" t="str">
        <f t="shared" si="19"/>
        <v>F23</v>
      </c>
      <c r="K155" s="1480" t="str">
        <f t="shared" si="20"/>
        <v>Agreement Worksheet</v>
      </c>
      <c r="L155" s="923" t="s">
        <v>1211</v>
      </c>
      <c r="M155" s="1480">
        <v>23</v>
      </c>
      <c r="N155" s="1480"/>
      <c r="O155" s="1477"/>
      <c r="P155" s="1477"/>
      <c r="Q155" s="1477"/>
      <c r="R155" s="1477"/>
      <c r="S155" s="1477"/>
      <c r="T155" s="1477"/>
      <c r="U155" s="1477"/>
      <c r="V155" s="1477"/>
      <c r="W155" s="1477"/>
      <c r="X155" s="1477"/>
      <c r="Y155" s="1477"/>
      <c r="Z155" s="1477"/>
    </row>
    <row r="156" spans="1:26" hidden="1" x14ac:dyDescent="0.25">
      <c r="A156" s="923"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7" t="str">
        <f t="shared" si="18"/>
        <v>Legacy Agreement Flag</v>
      </c>
      <c r="J156" s="1480" t="str">
        <f t="shared" si="19"/>
        <v>F24</v>
      </c>
      <c r="K156" s="1480" t="str">
        <f t="shared" si="20"/>
        <v>Agreement Worksheet</v>
      </c>
      <c r="L156" s="923" t="s">
        <v>1744</v>
      </c>
      <c r="M156" s="1480">
        <v>24</v>
      </c>
      <c r="N156" s="1480"/>
      <c r="O156" s="1477"/>
      <c r="P156" s="1477"/>
      <c r="Q156" s="1477"/>
      <c r="R156" s="1477"/>
      <c r="S156" s="1477"/>
      <c r="T156" s="1477"/>
      <c r="U156" s="1477"/>
      <c r="V156" s="1477"/>
      <c r="W156" s="1477"/>
      <c r="X156" s="1477"/>
      <c r="Y156" s="1477"/>
      <c r="Z156" s="1477"/>
    </row>
    <row r="157" spans="1:26" hidden="1" x14ac:dyDescent="0.25">
      <c r="A157" s="923"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3" t="s">
        <v>1742</v>
      </c>
      <c r="G157" s="52" t="s">
        <v>1381</v>
      </c>
      <c r="H157" s="52" t="s">
        <v>1847</v>
      </c>
      <c r="I157" s="1427" t="str">
        <f t="shared" si="18"/>
        <v>Agreement Calendar</v>
      </c>
      <c r="J157" s="1480" t="str">
        <f t="shared" si="19"/>
        <v>F25</v>
      </c>
      <c r="K157" s="1480" t="str">
        <f t="shared" si="20"/>
        <v>Agreement Worksheet</v>
      </c>
      <c r="L157" s="923" t="s">
        <v>1742</v>
      </c>
      <c r="M157" s="1480">
        <v>25</v>
      </c>
      <c r="N157" s="1480"/>
      <c r="O157" s="1477"/>
      <c r="P157" s="1477"/>
      <c r="Q157" s="1477"/>
      <c r="R157" s="1477"/>
      <c r="S157" s="1477"/>
      <c r="T157" s="1477"/>
      <c r="U157" s="1477"/>
      <c r="V157" s="1477"/>
      <c r="W157" s="1477"/>
      <c r="X157" s="1477"/>
      <c r="Y157" s="1477"/>
      <c r="Z157" s="1477"/>
    </row>
    <row r="158" spans="1:26" hidden="1"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8"/>
        <v xml:space="preserve">Agreement Effective Date: </v>
      </c>
      <c r="J158" s="1480" t="str">
        <f t="shared" si="19"/>
        <v>F7</v>
      </c>
      <c r="K158" s="1480" t="str">
        <f t="shared" si="20"/>
        <v>Required Info to Submit</v>
      </c>
      <c r="L158" s="867" t="s">
        <v>1436</v>
      </c>
      <c r="M158" s="1480">
        <v>7</v>
      </c>
      <c r="N158" s="1480"/>
      <c r="O158" s="1477"/>
      <c r="P158" s="1477"/>
      <c r="Q158" s="1477"/>
      <c r="R158" s="1477"/>
      <c r="S158" s="1477"/>
      <c r="T158" s="1477"/>
      <c r="U158" s="1477"/>
      <c r="V158" s="1477"/>
      <c r="W158" s="1477"/>
      <c r="X158" s="1477"/>
      <c r="Y158" s="1477"/>
      <c r="Z158" s="1477"/>
    </row>
    <row r="159" spans="1:26" hidden="1"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8"/>
        <v>Agreement Expiration Date:</v>
      </c>
      <c r="J159" s="1480" t="str">
        <f t="shared" si="19"/>
        <v>F8</v>
      </c>
      <c r="K159" s="1480" t="str">
        <f t="shared" si="20"/>
        <v>Required Info to Submit</v>
      </c>
      <c r="L159" s="867" t="s">
        <v>1437</v>
      </c>
      <c r="M159" s="1480">
        <v>8</v>
      </c>
      <c r="N159" s="1480"/>
      <c r="O159" s="1477"/>
      <c r="P159" s="1477"/>
      <c r="Q159" s="1477"/>
      <c r="R159" s="1477"/>
      <c r="S159" s="1477"/>
      <c r="T159" s="1477"/>
      <c r="U159" s="1477"/>
      <c r="V159" s="1477"/>
      <c r="W159" s="1477"/>
      <c r="X159" s="1477"/>
      <c r="Y159" s="1477"/>
      <c r="Z159" s="1477"/>
    </row>
    <row r="160" spans="1:26" hidden="1" x14ac:dyDescent="0.25">
      <c r="A160" s="923" t="s">
        <v>850</v>
      </c>
      <c r="B160" s="867" t="str">
        <f>IFERROR(_xlfn.CONCAT("E",MATCH(A160,'Required Info to Submit'!E$1:E$19,0)),"")</f>
        <v>E4</v>
      </c>
      <c r="C160" s="867" t="str">
        <f>IFERROR(_xlfn.CONCAT("F",MATCH(A160,'Required Info to Submit'!E$1:E$19,0)),"")</f>
        <v>F4</v>
      </c>
      <c r="D160" s="867" t="s">
        <v>1365</v>
      </c>
      <c r="E160" s="867" t="s">
        <v>1373</v>
      </c>
      <c r="F160" s="1480"/>
      <c r="G160" s="1480"/>
      <c r="H160" s="1480"/>
      <c r="I160" s="1427" t="str">
        <f t="shared" si="18"/>
        <v xml:space="preserve">Market Contact: </v>
      </c>
      <c r="J160" s="1480" t="str">
        <f t="shared" si="19"/>
        <v>F502</v>
      </c>
      <c r="K160" s="1480" t="str">
        <f t="shared" si="20"/>
        <v>Required Info to Submit</v>
      </c>
      <c r="L160" s="923" t="s">
        <v>1464</v>
      </c>
      <c r="M160" s="1480">
        <v>502</v>
      </c>
      <c r="N160" s="1480"/>
      <c r="O160" s="1477"/>
      <c r="P160" s="1477"/>
      <c r="Q160" s="1477"/>
      <c r="R160" s="1477"/>
      <c r="S160" s="1477"/>
      <c r="T160" s="1477"/>
      <c r="U160" s="1477"/>
      <c r="V160" s="1477"/>
      <c r="W160" s="1477"/>
      <c r="X160" s="1477"/>
      <c r="Y160" s="1477"/>
      <c r="Z160" s="1477"/>
    </row>
    <row r="161" spans="1:26" hidden="1" x14ac:dyDescent="0.25">
      <c r="A161" s="923" t="s">
        <v>1181</v>
      </c>
      <c r="B161" s="867" t="str">
        <f>IFERROR(_xlfn.CONCAT("E",MATCH(A161,'Required Info to Submit'!E$1:E$19,0)),"")</f>
        <v>E6</v>
      </c>
      <c r="C161" s="867" t="str">
        <f>IFERROR(_xlfn.CONCAT("F",MATCH(A161,'Required Info to Submit'!E$1:E$19,0)),"")</f>
        <v>F6</v>
      </c>
      <c r="D161" s="867" t="s">
        <v>1365</v>
      </c>
      <c r="E161" s="867" t="s">
        <v>1373</v>
      </c>
      <c r="F161" s="1480"/>
      <c r="G161" s="1480"/>
      <c r="H161" s="1480"/>
      <c r="I161" s="1427" t="str">
        <f t="shared" si="18"/>
        <v xml:space="preserve">Legal Entity: </v>
      </c>
      <c r="J161" s="1480" t="str">
        <f t="shared" si="19"/>
        <v>F503</v>
      </c>
      <c r="K161" s="1480" t="str">
        <f t="shared" si="20"/>
        <v>Required Info to Submit</v>
      </c>
      <c r="L161" s="923" t="s">
        <v>1465</v>
      </c>
      <c r="M161" s="1480">
        <v>503</v>
      </c>
      <c r="N161" s="1480"/>
      <c r="O161" s="1477"/>
      <c r="P161" s="1477"/>
      <c r="Q161" s="1477"/>
      <c r="R161" s="1477"/>
      <c r="S161" s="1477"/>
      <c r="T161" s="1477"/>
      <c r="U161" s="1477"/>
      <c r="V161" s="1477"/>
      <c r="W161" s="1477"/>
      <c r="X161" s="1477"/>
      <c r="Y161" s="1477"/>
      <c r="Z161" s="1477"/>
    </row>
    <row r="162" spans="1:26" hidden="1"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8"/>
        <v xml:space="preserve">DBA Name: </v>
      </c>
      <c r="J162" s="1480" t="str">
        <f t="shared" si="19"/>
        <v>F504</v>
      </c>
      <c r="K162" s="1480" t="str">
        <f t="shared" si="20"/>
        <v>Required Info to Submit</v>
      </c>
      <c r="L162" s="923" t="s">
        <v>1467</v>
      </c>
      <c r="M162" s="1480">
        <v>504</v>
      </c>
      <c r="N162" s="1480"/>
      <c r="O162" s="1477"/>
      <c r="P162" s="1477"/>
      <c r="Q162" s="1477"/>
      <c r="R162" s="1477"/>
      <c r="S162" s="1477"/>
      <c r="T162" s="1477"/>
      <c r="U162" s="1477"/>
      <c r="V162" s="1477"/>
      <c r="W162" s="1477"/>
      <c r="X162" s="1477"/>
      <c r="Y162" s="1477"/>
      <c r="Z162" s="1477"/>
    </row>
    <row r="163" spans="1:26" hidden="1" x14ac:dyDescent="0.25">
      <c r="A163" s="923" t="s">
        <v>1183</v>
      </c>
      <c r="B163" s="867" t="str">
        <f>IFERROR(_xlfn.CONCAT("E",MATCH(A163,'Required Info to Submit'!E$1:E$19,0)),"")</f>
        <v>E9</v>
      </c>
      <c r="C163" s="867" t="str">
        <f>IFERROR(_xlfn.CONCAT("F",MATCH(A163,'Required Info to Submit'!E$1:E$19,0)),"")</f>
        <v>F9</v>
      </c>
      <c r="D163" s="867" t="s">
        <v>1365</v>
      </c>
      <c r="E163" s="867" t="s">
        <v>1373</v>
      </c>
      <c r="F163" s="1480"/>
      <c r="G163" s="1480"/>
      <c r="H163" s="1480"/>
      <c r="I163" s="1427" t="str">
        <f t="shared" si="18"/>
        <v xml:space="preserve">Legal Entity Address: </v>
      </c>
      <c r="J163" s="1480" t="str">
        <f t="shared" si="19"/>
        <v>F505</v>
      </c>
      <c r="K163" s="1480" t="str">
        <f t="shared" si="20"/>
        <v>Required Info to Submit</v>
      </c>
      <c r="L163" s="923" t="s">
        <v>1468</v>
      </c>
      <c r="M163" s="1480">
        <v>505</v>
      </c>
      <c r="N163" s="1480"/>
      <c r="O163" s="1477"/>
      <c r="P163" s="1477"/>
      <c r="Q163" s="1477"/>
      <c r="R163" s="1477"/>
      <c r="S163" s="1477"/>
      <c r="T163" s="1477"/>
      <c r="U163" s="1477"/>
      <c r="V163" s="1477"/>
      <c r="W163" s="1477"/>
      <c r="X163" s="1477"/>
      <c r="Y163" s="1477"/>
      <c r="Z163" s="1477"/>
    </row>
    <row r="164" spans="1:26" hidden="1" x14ac:dyDescent="0.25">
      <c r="A164" s="923" t="s">
        <v>842</v>
      </c>
      <c r="B164" s="867" t="str">
        <f>IFERROR(_xlfn.CONCAT("E",MATCH(A164,'Required Info to Submit'!E$1:E$19,0)),"")</f>
        <v>E10</v>
      </c>
      <c r="C164" s="867" t="str">
        <f>IFERROR(_xlfn.CONCAT("F",MATCH(A164,'Required Info to Submit'!E$1:E$19,0)),"")</f>
        <v>F10</v>
      </c>
      <c r="D164" s="867" t="s">
        <v>1365</v>
      </c>
      <c r="E164" s="867" t="s">
        <v>1373</v>
      </c>
      <c r="F164" s="1480"/>
      <c r="G164" s="1480"/>
      <c r="H164" s="1480"/>
      <c r="I164" s="1427" t="str">
        <f t="shared" si="18"/>
        <v xml:space="preserve">Attention: </v>
      </c>
      <c r="J164" s="1480" t="str">
        <f t="shared" si="19"/>
        <v>F506</v>
      </c>
      <c r="K164" s="1480" t="str">
        <f t="shared" si="20"/>
        <v>Required Info to Submit</v>
      </c>
      <c r="L164" s="923" t="s">
        <v>1469</v>
      </c>
      <c r="M164" s="1480">
        <v>506</v>
      </c>
      <c r="N164" s="1480"/>
      <c r="O164" s="1477"/>
      <c r="P164" s="1477"/>
      <c r="Q164" s="1477"/>
      <c r="R164" s="1477"/>
      <c r="S164" s="1477"/>
      <c r="T164" s="1477"/>
      <c r="U164" s="1477"/>
      <c r="V164" s="1477"/>
      <c r="W164" s="1477"/>
      <c r="X164" s="1477"/>
      <c r="Y164" s="1477"/>
      <c r="Z164" s="1477"/>
    </row>
    <row r="165" spans="1:26" hidden="1" x14ac:dyDescent="0.25">
      <c r="A165" s="923" t="s">
        <v>801</v>
      </c>
      <c r="B165" s="867" t="str">
        <f>IFERROR(_xlfn.CONCAT("E",MATCH(A165,'Required Info to Submit'!E$1:E$19,0)),"")</f>
        <v>E11</v>
      </c>
      <c r="C165" s="867" t="str">
        <f>IFERROR(_xlfn.CONCAT("F",MATCH(A165,'Required Info to Submit'!E$1:E$19,0)),"")</f>
        <v>F11</v>
      </c>
      <c r="D165" s="867" t="s">
        <v>1365</v>
      </c>
      <c r="E165" s="867" t="s">
        <v>1373</v>
      </c>
      <c r="F165" s="1480"/>
      <c r="G165" s="1480"/>
      <c r="H165" s="1480"/>
      <c r="I165" s="1427" t="str">
        <f t="shared" si="18"/>
        <v xml:space="preserve">Phone Number: </v>
      </c>
      <c r="J165" s="1480" t="str">
        <f t="shared" si="19"/>
        <v>F507</v>
      </c>
      <c r="K165" s="1480" t="str">
        <f t="shared" si="20"/>
        <v>Required Info to Submit</v>
      </c>
      <c r="L165" s="923" t="s">
        <v>1470</v>
      </c>
      <c r="M165" s="1480">
        <v>507</v>
      </c>
      <c r="N165" s="1480"/>
      <c r="O165" s="1477"/>
      <c r="P165" s="1477"/>
      <c r="Q165" s="1477"/>
      <c r="R165" s="1477"/>
      <c r="S165" s="1477"/>
      <c r="T165" s="1477"/>
      <c r="U165" s="1477"/>
      <c r="V165" s="1477"/>
      <c r="W165" s="1477"/>
      <c r="X165" s="1477"/>
      <c r="Y165" s="1477"/>
      <c r="Z165" s="1477"/>
    </row>
    <row r="166" spans="1:26" hidden="1" x14ac:dyDescent="0.25">
      <c r="A166" s="923" t="s">
        <v>1184</v>
      </c>
      <c r="B166" s="867" t="str">
        <f>IFERROR(_xlfn.CONCAT("E",MATCH(A166,'Required Info to Submit'!E$1:E$19,0)),"")</f>
        <v>E12</v>
      </c>
      <c r="C166" s="867" t="str">
        <f>IFERROR(_xlfn.CONCAT("F",MATCH(A166,'Required Info to Submit'!E$1:E$19,0)),"")</f>
        <v>F12</v>
      </c>
      <c r="D166" s="867" t="s">
        <v>1365</v>
      </c>
      <c r="E166" s="867" t="s">
        <v>1373</v>
      </c>
      <c r="F166" s="1480"/>
      <c r="G166" s="1480"/>
      <c r="H166" s="1480"/>
      <c r="I166" s="1427" t="str">
        <f t="shared" si="18"/>
        <v xml:space="preserve">Legal Entity City, State, Zip: </v>
      </c>
      <c r="J166" s="1480" t="str">
        <f t="shared" si="19"/>
        <v>F508</v>
      </c>
      <c r="K166" s="1480" t="str">
        <f t="shared" si="20"/>
        <v>Required Info to Submit</v>
      </c>
      <c r="L166" s="923" t="s">
        <v>1471</v>
      </c>
      <c r="M166" s="1480">
        <v>508</v>
      </c>
      <c r="N166" s="1480"/>
      <c r="O166" s="1477"/>
      <c r="P166" s="1477"/>
      <c r="Q166" s="1477"/>
      <c r="R166" s="1477"/>
      <c r="S166" s="1477"/>
      <c r="T166" s="1477"/>
      <c r="U166" s="1477"/>
      <c r="V166" s="1477"/>
      <c r="W166" s="1477"/>
      <c r="X166" s="1477"/>
      <c r="Y166" s="1477"/>
      <c r="Z166" s="1477"/>
    </row>
    <row r="167" spans="1:26" hidden="1" x14ac:dyDescent="0.25">
      <c r="A167" s="924" t="s">
        <v>1188</v>
      </c>
      <c r="B167" s="867" t="str">
        <f ca="1">_xlfn.IFNA(_xlfn.CONCAT(SUBSTITUTE(ADDRESS(1,MATCH(A167,INDIRECT("'"&amp;E167&amp;"'"&amp;"!A22:Z22"),0),4),1,""),23),"")</f>
        <v>E23</v>
      </c>
      <c r="C167" s="867" t="str">
        <f ca="1">_xlfn.IFNA(SUBSTITUTE(ADDRESS(1,MATCH(A167,INDIRECT("'"&amp;E167&amp;"'"&amp;"!A22:Z22"),0),4),1,""),"")</f>
        <v>E</v>
      </c>
      <c r="D167" s="1480" t="s">
        <v>1372</v>
      </c>
      <c r="E167" s="867" t="s">
        <v>1373</v>
      </c>
      <c r="F167" s="1480"/>
      <c r="G167" s="1480"/>
      <c r="H167" s="1480"/>
      <c r="I167" s="1427" t="str">
        <f t="shared" si="18"/>
        <v/>
      </c>
      <c r="J167" s="1480"/>
      <c r="K167" s="1480" t="str">
        <f t="shared" si="20"/>
        <v/>
      </c>
      <c r="L167" s="904" t="s">
        <v>1188</v>
      </c>
      <c r="M167" s="1480">
        <v>34</v>
      </c>
      <c r="N167" s="1480"/>
      <c r="O167" s="1477"/>
      <c r="P167" s="1480" t="str">
        <f>IFERROR(VLOOKUP(Q$167,'Existing Customers'!$A:$F,1,FALSE),"")</f>
        <v/>
      </c>
      <c r="Q167" s="1480">
        <v>2467</v>
      </c>
      <c r="R167" s="1477"/>
      <c r="S167" s="1477"/>
      <c r="T167" s="1477"/>
      <c r="U167" s="1477"/>
      <c r="V167" s="1477"/>
      <c r="W167" s="1477"/>
      <c r="X167" s="1477"/>
      <c r="Y167" s="1477"/>
      <c r="Z167" s="1477"/>
    </row>
    <row r="168" spans="1:26" hidden="1" x14ac:dyDescent="0.25">
      <c r="A168" s="925"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80" t="s">
        <v>1372</v>
      </c>
      <c r="E168" s="867" t="s">
        <v>1373</v>
      </c>
      <c r="F168" s="1480"/>
      <c r="G168" s="1480"/>
      <c r="H168" s="1480"/>
      <c r="I168" s="1427" t="str">
        <f t="shared" si="18"/>
        <v>Name</v>
      </c>
      <c r="J168" s="1480" t="str">
        <f>IF(P167="",Q$1&amp;M168,"")</f>
        <v>F36</v>
      </c>
      <c r="K168" s="1480" t="str">
        <f t="shared" si="20"/>
        <v>Required Info to Submit</v>
      </c>
      <c r="L168" s="904" t="s">
        <v>769</v>
      </c>
      <c r="M168" s="1480">
        <v>36</v>
      </c>
      <c r="N168" s="1480"/>
      <c r="O168" s="1477"/>
      <c r="P168" s="1477"/>
      <c r="Q168" s="1477"/>
      <c r="R168" s="1477"/>
      <c r="S168" s="1477"/>
      <c r="T168" s="1477"/>
      <c r="U168" s="1477"/>
      <c r="V168" s="1477"/>
      <c r="W168" s="1477"/>
      <c r="X168" s="1477"/>
      <c r="Y168" s="1477"/>
      <c r="Z168" s="1477"/>
    </row>
    <row r="169" spans="1:26" hidden="1" x14ac:dyDescent="0.25">
      <c r="A169" s="925" t="s">
        <v>768</v>
      </c>
      <c r="B169" s="867" t="str">
        <f t="shared" ca="1" si="21"/>
        <v>K23</v>
      </c>
      <c r="C169" s="867" t="str">
        <f t="shared" ca="1" si="22"/>
        <v>K</v>
      </c>
      <c r="D169" s="1480" t="s">
        <v>1372</v>
      </c>
      <c r="E169" s="867" t="s">
        <v>1373</v>
      </c>
      <c r="F169" s="1480"/>
      <c r="G169" s="1480"/>
      <c r="H169" s="1480"/>
      <c r="I169" s="1427" t="str">
        <f t="shared" si="18"/>
        <v/>
      </c>
      <c r="J169" s="1480"/>
      <c r="K169" s="1480" t="str">
        <f t="shared" si="20"/>
        <v/>
      </c>
      <c r="L169" s="904" t="s">
        <v>768</v>
      </c>
      <c r="M169" s="1480">
        <v>46</v>
      </c>
      <c r="N169" s="1480"/>
      <c r="O169" s="1477"/>
      <c r="P169" s="1477"/>
      <c r="Q169" s="1477"/>
      <c r="R169" s="1477"/>
      <c r="S169" s="1477"/>
      <c r="T169" s="1477"/>
      <c r="U169" s="1477"/>
      <c r="V169" s="1477"/>
      <c r="W169" s="1477"/>
      <c r="X169" s="1477"/>
      <c r="Y169" s="1477"/>
      <c r="Z169" s="1477"/>
    </row>
    <row r="170" spans="1:26" hidden="1" x14ac:dyDescent="0.25">
      <c r="A170" s="925" t="s">
        <v>1189</v>
      </c>
      <c r="B170" s="867" t="str">
        <f t="shared" ca="1" si="21"/>
        <v>L23</v>
      </c>
      <c r="C170" s="867" t="str">
        <f t="shared" ca="1" si="22"/>
        <v>L</v>
      </c>
      <c r="D170" s="1480" t="s">
        <v>1372</v>
      </c>
      <c r="E170" s="867" t="s">
        <v>1373</v>
      </c>
      <c r="F170" s="1480"/>
      <c r="G170" s="1480"/>
      <c r="H170" s="1480"/>
      <c r="I170" s="1427" t="str">
        <f t="shared" si="18"/>
        <v/>
      </c>
      <c r="J170" s="1480"/>
      <c r="K170" s="1480" t="str">
        <f t="shared" si="20"/>
        <v/>
      </c>
      <c r="L170" s="904" t="s">
        <v>1189</v>
      </c>
      <c r="M170" s="1480">
        <v>47</v>
      </c>
      <c r="N170" s="1480"/>
      <c r="O170" s="1477"/>
      <c r="P170" s="1477"/>
      <c r="Q170" s="1477"/>
      <c r="R170" s="1477"/>
      <c r="S170" s="1477"/>
      <c r="T170" s="1477"/>
      <c r="U170" s="1477"/>
      <c r="V170" s="1477"/>
      <c r="W170" s="1477"/>
      <c r="X170" s="1477"/>
      <c r="Y170" s="1477"/>
      <c r="Z170" s="1477"/>
    </row>
    <row r="171" spans="1:26" hidden="1" x14ac:dyDescent="0.25">
      <c r="A171" s="925" t="s">
        <v>1190</v>
      </c>
      <c r="B171" s="867" t="str">
        <f t="shared" ca="1" si="21"/>
        <v>M23</v>
      </c>
      <c r="C171" s="867" t="str">
        <f t="shared" ca="1" si="22"/>
        <v>M</v>
      </c>
      <c r="D171" s="1480" t="s">
        <v>1372</v>
      </c>
      <c r="E171" s="867" t="s">
        <v>1373</v>
      </c>
      <c r="F171" s="1480"/>
      <c r="G171" s="1480"/>
      <c r="H171" s="1480"/>
      <c r="I171" s="1427" t="str">
        <f t="shared" si="18"/>
        <v>Secondary or Internal Customer</v>
      </c>
      <c r="J171" s="1480" t="str">
        <f>IF(M171&lt;&gt;"",Q$1&amp;M171,"")</f>
        <v>F48</v>
      </c>
      <c r="K171" s="1480" t="str">
        <f t="shared" si="20"/>
        <v>Required Info to Submit</v>
      </c>
      <c r="L171" s="904" t="s">
        <v>1190</v>
      </c>
      <c r="M171" s="1480">
        <v>48</v>
      </c>
      <c r="N171" s="1480"/>
      <c r="O171" s="1477"/>
      <c r="P171" s="1477"/>
      <c r="Q171" s="1477"/>
      <c r="R171" s="1477"/>
      <c r="S171" s="1477"/>
      <c r="T171" s="1477"/>
      <c r="U171" s="1477"/>
      <c r="V171" s="1477"/>
      <c r="W171" s="1477"/>
      <c r="X171" s="1477"/>
      <c r="Y171" s="1477"/>
      <c r="Z171" s="1477"/>
    </row>
    <row r="172" spans="1:26" hidden="1" x14ac:dyDescent="0.25">
      <c r="A172" s="925" t="s">
        <v>1191</v>
      </c>
      <c r="B172" s="867" t="str">
        <f t="shared" ca="1" si="21"/>
        <v>N23</v>
      </c>
      <c r="C172" s="867" t="str">
        <f t="shared" ca="1" si="22"/>
        <v>N</v>
      </c>
      <c r="D172" s="1480" t="s">
        <v>1372</v>
      </c>
      <c r="E172" s="867" t="s">
        <v>1373</v>
      </c>
      <c r="F172" s="1480"/>
      <c r="G172" s="1480"/>
      <c r="H172" s="1480"/>
      <c r="I172" s="1427" t="str">
        <f t="shared" si="18"/>
        <v>Fuel Surcharge Applied</v>
      </c>
      <c r="J172" s="1480" t="str">
        <f>IF(M172&lt;&gt;"",Q$1&amp;M172,"")</f>
        <v>F49</v>
      </c>
      <c r="K172" s="1480" t="str">
        <f t="shared" si="20"/>
        <v>Required Info to Submit</v>
      </c>
      <c r="L172" s="904" t="s">
        <v>1382</v>
      </c>
      <c r="M172" s="1480">
        <v>49</v>
      </c>
      <c r="N172" s="1480"/>
      <c r="O172" s="1477"/>
      <c r="P172" s="1477"/>
      <c r="Q172" s="1477"/>
      <c r="R172" s="1477"/>
      <c r="S172" s="1477"/>
      <c r="T172" s="1477"/>
      <c r="U172" s="1477"/>
      <c r="V172" s="1477"/>
      <c r="W172" s="1477"/>
      <c r="X172" s="1477"/>
      <c r="Y172" s="1477"/>
      <c r="Z172" s="1477"/>
    </row>
    <row r="173" spans="1:26" hidden="1" x14ac:dyDescent="0.25">
      <c r="A173" s="925" t="s">
        <v>1307</v>
      </c>
      <c r="B173" s="867" t="str">
        <f t="shared" ca="1" si="21"/>
        <v>O23</v>
      </c>
      <c r="C173" s="867" t="str">
        <f t="shared" ca="1" si="22"/>
        <v>O</v>
      </c>
      <c r="D173" s="1480" t="s">
        <v>1372</v>
      </c>
      <c r="E173" s="867" t="s">
        <v>1373</v>
      </c>
      <c r="F173" s="1480"/>
      <c r="G173" s="1480"/>
      <c r="H173" s="1480"/>
      <c r="I173" s="1427" t="str">
        <f t="shared" si="18"/>
        <v>Minimum Delivery Charge Applied Flag</v>
      </c>
      <c r="J173" s="1480" t="str">
        <f>IF(M173&lt;&gt;"",Q$1&amp;M173,"")</f>
        <v>F50</v>
      </c>
      <c r="K173" s="1480" t="str">
        <f t="shared" si="20"/>
        <v>Required Info to Submit</v>
      </c>
      <c r="L173" s="904" t="s">
        <v>1307</v>
      </c>
      <c r="M173" s="1480">
        <v>50</v>
      </c>
      <c r="N173" s="1480"/>
      <c r="O173" s="1477"/>
      <c r="P173" s="1477"/>
      <c r="Q173" s="1477"/>
      <c r="R173" s="1477"/>
      <c r="S173" s="1477"/>
      <c r="T173" s="1477"/>
      <c r="U173" s="1477"/>
      <c r="V173" s="1477"/>
      <c r="W173" s="1477"/>
      <c r="X173" s="1477"/>
      <c r="Y173" s="1477"/>
      <c r="Z173" s="1477"/>
    </row>
    <row r="174" spans="1:26" hidden="1" x14ac:dyDescent="0.25">
      <c r="A174" s="925" t="s">
        <v>770</v>
      </c>
      <c r="B174" s="867" t="str">
        <f t="shared" ca="1" si="21"/>
        <v>G23</v>
      </c>
      <c r="C174" s="867" t="str">
        <f t="shared" ca="1" si="22"/>
        <v>G</v>
      </c>
      <c r="D174" s="1480" t="s">
        <v>1372</v>
      </c>
      <c r="E174" s="867" t="s">
        <v>1373</v>
      </c>
      <c r="F174" s="1480"/>
      <c r="G174" s="1480"/>
      <c r="H174" s="1480"/>
      <c r="I174" s="1427" t="str">
        <f t="shared" si="18"/>
        <v>Address</v>
      </c>
      <c r="J174" s="1480" t="str">
        <f>IF(P167="",Q$1&amp;M174,"")</f>
        <v>F51</v>
      </c>
      <c r="K174" s="1480" t="str">
        <f t="shared" si="20"/>
        <v>Required Info to Submit</v>
      </c>
      <c r="L174" s="904" t="s">
        <v>770</v>
      </c>
      <c r="M174" s="1480">
        <v>51</v>
      </c>
      <c r="N174" s="1480"/>
      <c r="O174" s="1477"/>
      <c r="P174" s="1477"/>
      <c r="Q174" s="1477"/>
      <c r="R174" s="1477"/>
      <c r="S174" s="1477"/>
      <c r="T174" s="1477"/>
      <c r="U174" s="1477"/>
      <c r="V174" s="1477"/>
      <c r="W174" s="1477"/>
      <c r="X174" s="1477"/>
      <c r="Y174" s="1477"/>
      <c r="Z174" s="1477"/>
    </row>
    <row r="175" spans="1:26" hidden="1" x14ac:dyDescent="0.25">
      <c r="A175" s="925" t="s">
        <v>771</v>
      </c>
      <c r="B175" s="867" t="str">
        <f t="shared" ca="1" si="21"/>
        <v>H23</v>
      </c>
      <c r="C175" s="867" t="str">
        <f t="shared" ca="1" si="22"/>
        <v>H</v>
      </c>
      <c r="D175" s="1480" t="s">
        <v>1372</v>
      </c>
      <c r="E175" s="867" t="s">
        <v>1373</v>
      </c>
      <c r="F175" s="1480"/>
      <c r="G175" s="1480"/>
      <c r="H175" s="1480"/>
      <c r="I175" s="1427" t="str">
        <f t="shared" si="18"/>
        <v>City</v>
      </c>
      <c r="J175" s="1480" t="str">
        <f>IF(P167="",Q$1&amp;M175,"")</f>
        <v>F52</v>
      </c>
      <c r="K175" s="1480" t="str">
        <f t="shared" si="20"/>
        <v>Required Info to Submit</v>
      </c>
      <c r="L175" s="904" t="s">
        <v>771</v>
      </c>
      <c r="M175" s="1480">
        <v>52</v>
      </c>
      <c r="N175" s="1480"/>
      <c r="O175" s="1477"/>
      <c r="P175" s="1477"/>
      <c r="Q175" s="1477"/>
      <c r="R175" s="1477"/>
      <c r="S175" s="1477"/>
      <c r="T175" s="1477"/>
      <c r="U175" s="1477"/>
      <c r="V175" s="1477"/>
      <c r="W175" s="1477"/>
      <c r="X175" s="1477"/>
      <c r="Y175" s="1477"/>
      <c r="Z175" s="1477"/>
    </row>
    <row r="176" spans="1:26" hidden="1" x14ac:dyDescent="0.25">
      <c r="A176" s="925" t="s">
        <v>772</v>
      </c>
      <c r="B176" s="867" t="str">
        <f t="shared" ca="1" si="21"/>
        <v>I23</v>
      </c>
      <c r="C176" s="867" t="str">
        <f t="shared" ca="1" si="22"/>
        <v>I</v>
      </c>
      <c r="D176" s="1480" t="s">
        <v>1372</v>
      </c>
      <c r="E176" s="867" t="s">
        <v>1373</v>
      </c>
      <c r="F176" s="1480"/>
      <c r="G176" s="1480"/>
      <c r="H176" s="1480"/>
      <c r="I176" s="1427" t="str">
        <f t="shared" si="18"/>
        <v>State</v>
      </c>
      <c r="J176" s="1480" t="str">
        <f>IF(P167="",Q$1&amp;M176,"")</f>
        <v>F53</v>
      </c>
      <c r="K176" s="1480" t="str">
        <f t="shared" si="20"/>
        <v>Required Info to Submit</v>
      </c>
      <c r="L176" s="904" t="s">
        <v>772</v>
      </c>
      <c r="M176" s="1480">
        <v>53</v>
      </c>
      <c r="N176" s="1480"/>
      <c r="O176" s="1477"/>
      <c r="P176" s="1477"/>
      <c r="Q176" s="1477"/>
      <c r="R176" s="1477"/>
      <c r="S176" s="1477"/>
      <c r="T176" s="1477"/>
      <c r="U176" s="1477"/>
      <c r="V176" s="1477"/>
      <c r="W176" s="1477"/>
      <c r="X176" s="1477"/>
      <c r="Y176" s="1477"/>
      <c r="Z176" s="1477"/>
    </row>
    <row r="177" spans="1:26" hidden="1" x14ac:dyDescent="0.25">
      <c r="A177" s="925" t="s">
        <v>204</v>
      </c>
      <c r="B177" s="867" t="str">
        <f t="shared" ca="1" si="21"/>
        <v>J23</v>
      </c>
      <c r="C177" s="867" t="str">
        <f t="shared" ca="1" si="22"/>
        <v>J</v>
      </c>
      <c r="D177" s="1480" t="s">
        <v>1372</v>
      </c>
      <c r="E177" s="867" t="s">
        <v>1373</v>
      </c>
      <c r="F177" s="1480"/>
      <c r="G177" s="1480"/>
      <c r="H177" s="1480"/>
      <c r="I177" s="1427" t="str">
        <f t="shared" si="18"/>
        <v>Zip Code</v>
      </c>
      <c r="J177" s="1480" t="str">
        <f>IF(P167="",Q$1&amp;M177,"")</f>
        <v>F54</v>
      </c>
      <c r="K177" s="1480" t="str">
        <f t="shared" si="20"/>
        <v>Required Info to Submit</v>
      </c>
      <c r="L177" s="904" t="s">
        <v>204</v>
      </c>
      <c r="M177" s="1480">
        <v>54</v>
      </c>
      <c r="N177" s="1480"/>
      <c r="O177" s="1477"/>
      <c r="P177" s="1477"/>
      <c r="Q177" s="1477"/>
      <c r="R177" s="1477"/>
      <c r="S177" s="1477"/>
      <c r="T177" s="1477"/>
      <c r="U177" s="1477"/>
      <c r="V177" s="1477"/>
      <c r="W177" s="1477"/>
      <c r="X177" s="1477"/>
      <c r="Y177" s="1477"/>
      <c r="Z177" s="1477"/>
    </row>
    <row r="178" spans="1:26" hidden="1" x14ac:dyDescent="0.25">
      <c r="A178" s="926" t="s">
        <v>1188</v>
      </c>
      <c r="B178" s="867" t="str">
        <f ca="1">_xlfn.IFNA(_xlfn.CONCAT(SUBSTITUTE(ADDRESS(1,MATCH(A178,INDIRECT("'"&amp;E178&amp;"'"&amp;"!A22:Z22"),0),4),1,""),24),"")</f>
        <v>E24</v>
      </c>
      <c r="C178" s="867" t="str">
        <f t="shared" ca="1" si="22"/>
        <v>E</v>
      </c>
      <c r="D178" s="1480" t="s">
        <v>1372</v>
      </c>
      <c r="E178" s="867" t="s">
        <v>1373</v>
      </c>
      <c r="F178" s="1480"/>
      <c r="G178" s="1480"/>
      <c r="H178" s="1480"/>
      <c r="I178" s="1427" t="str">
        <f t="shared" si="18"/>
        <v/>
      </c>
      <c r="J178" s="1480"/>
      <c r="K178" s="1480" t="str">
        <f t="shared" si="20"/>
        <v/>
      </c>
      <c r="L178" s="904" t="s">
        <v>1188</v>
      </c>
      <c r="M178" s="1480">
        <v>55</v>
      </c>
      <c r="N178" s="1480"/>
      <c r="O178" s="1477"/>
      <c r="P178" s="1480" t="str">
        <f>IFERROR(VLOOKUP(Q$178,'Existing Customers'!$A:$F,1,FALSE),"")</f>
        <v/>
      </c>
      <c r="Q178" s="1480">
        <v>256</v>
      </c>
      <c r="R178" s="1477"/>
      <c r="S178" s="1477"/>
      <c r="T178" s="1477"/>
      <c r="U178" s="1477"/>
      <c r="V178" s="1477"/>
      <c r="W178" s="1477"/>
      <c r="X178" s="1477"/>
      <c r="Y178" s="1477"/>
      <c r="Z178" s="1477"/>
    </row>
    <row r="179" spans="1:26" hidden="1" x14ac:dyDescent="0.25">
      <c r="A179" s="927" t="s">
        <v>769</v>
      </c>
      <c r="B179" s="867" t="str">
        <f t="shared" ref="B179:B188" ca="1" si="23">_xlfn.IFNA(_xlfn.CONCAT(SUBSTITUTE(ADDRESS(1,MATCH(A179,INDIRECT("'"&amp;E179&amp;"'"&amp;"!A22:Z22"),0),4),1,""),24),"")</f>
        <v>F24</v>
      </c>
      <c r="C179" s="867" t="str">
        <f t="shared" ca="1" si="22"/>
        <v>F</v>
      </c>
      <c r="D179" s="1480" t="s">
        <v>1372</v>
      </c>
      <c r="E179" s="867" t="s">
        <v>1373</v>
      </c>
      <c r="F179" s="1480"/>
      <c r="G179" s="1480"/>
      <c r="H179" s="1480"/>
      <c r="I179" s="1427" t="str">
        <f t="shared" si="18"/>
        <v>Name</v>
      </c>
      <c r="J179" s="1480" t="str">
        <f>IF(P178="",Q$1&amp;M179,"")</f>
        <v>F57</v>
      </c>
      <c r="K179" s="1480" t="str">
        <f t="shared" si="20"/>
        <v>Required Info to Submit</v>
      </c>
      <c r="L179" s="904" t="s">
        <v>769</v>
      </c>
      <c r="M179" s="1480">
        <v>57</v>
      </c>
      <c r="N179" s="1480"/>
      <c r="O179" s="1477"/>
      <c r="P179" s="1477"/>
      <c r="Q179" s="1477"/>
      <c r="R179" s="1477"/>
      <c r="S179" s="1477"/>
      <c r="T179" s="1477"/>
      <c r="U179" s="1477"/>
      <c r="V179" s="1477"/>
      <c r="W179" s="1477"/>
      <c r="X179" s="1477"/>
      <c r="Y179" s="1477"/>
      <c r="Z179" s="1477"/>
    </row>
    <row r="180" spans="1:26" hidden="1" x14ac:dyDescent="0.25">
      <c r="A180" s="927" t="s">
        <v>768</v>
      </c>
      <c r="B180" s="867" t="str">
        <f t="shared" ca="1" si="23"/>
        <v>K24</v>
      </c>
      <c r="C180" s="867" t="str">
        <f t="shared" ca="1" si="22"/>
        <v>K</v>
      </c>
      <c r="D180" s="1480" t="s">
        <v>1372</v>
      </c>
      <c r="E180" s="867" t="s">
        <v>1373</v>
      </c>
      <c r="F180" s="1480"/>
      <c r="G180" s="1480"/>
      <c r="H180" s="1480"/>
      <c r="I180" s="1427" t="str">
        <f t="shared" si="18"/>
        <v/>
      </c>
      <c r="J180" s="1480"/>
      <c r="K180" s="1480" t="str">
        <f t="shared" si="20"/>
        <v/>
      </c>
      <c r="L180" s="904" t="s">
        <v>768</v>
      </c>
      <c r="M180" s="1480">
        <v>67</v>
      </c>
      <c r="N180" s="1480"/>
      <c r="O180" s="1477"/>
      <c r="P180" s="1477"/>
      <c r="Q180" s="1477"/>
      <c r="R180" s="1477"/>
      <c r="S180" s="1477"/>
      <c r="T180" s="1477"/>
      <c r="U180" s="1477"/>
      <c r="V180" s="1477"/>
      <c r="W180" s="1477"/>
      <c r="X180" s="1477"/>
      <c r="Y180" s="1477"/>
      <c r="Z180" s="1477"/>
    </row>
    <row r="181" spans="1:26" hidden="1" x14ac:dyDescent="0.25">
      <c r="A181" s="927" t="s">
        <v>1189</v>
      </c>
      <c r="B181" s="867" t="str">
        <f t="shared" ca="1" si="23"/>
        <v>L24</v>
      </c>
      <c r="C181" s="867" t="str">
        <f t="shared" ca="1" si="22"/>
        <v>L</v>
      </c>
      <c r="D181" s="1480" t="s">
        <v>1372</v>
      </c>
      <c r="E181" s="867" t="s">
        <v>1373</v>
      </c>
      <c r="F181" s="1480"/>
      <c r="G181" s="1480"/>
      <c r="H181" s="1480"/>
      <c r="I181" s="1427" t="str">
        <f t="shared" si="18"/>
        <v/>
      </c>
      <c r="J181" s="1480"/>
      <c r="K181" s="1480" t="str">
        <f t="shared" si="20"/>
        <v/>
      </c>
      <c r="L181" s="904" t="s">
        <v>1189</v>
      </c>
      <c r="M181" s="1480">
        <v>68</v>
      </c>
      <c r="N181" s="1480"/>
      <c r="O181" s="1477"/>
      <c r="P181" s="1477"/>
      <c r="Q181" s="1477"/>
      <c r="R181" s="1477"/>
      <c r="S181" s="1477"/>
      <c r="T181" s="1477"/>
      <c r="U181" s="1477"/>
      <c r="V181" s="1477"/>
      <c r="W181" s="1477"/>
      <c r="X181" s="1477"/>
      <c r="Y181" s="1477"/>
      <c r="Z181" s="1477"/>
    </row>
    <row r="182" spans="1:26" hidden="1" x14ac:dyDescent="0.25">
      <c r="A182" s="927" t="s">
        <v>1190</v>
      </c>
      <c r="B182" s="867" t="str">
        <f t="shared" ca="1" si="23"/>
        <v>M24</v>
      </c>
      <c r="C182" s="867" t="str">
        <f t="shared" ca="1" si="22"/>
        <v>M</v>
      </c>
      <c r="D182" s="1480" t="s">
        <v>1372</v>
      </c>
      <c r="E182" s="867" t="s">
        <v>1373</v>
      </c>
      <c r="F182" s="1480"/>
      <c r="G182" s="1480"/>
      <c r="H182" s="1480"/>
      <c r="I182" s="1427" t="str">
        <f t="shared" si="18"/>
        <v>Secondary or Internal Customer</v>
      </c>
      <c r="J182" s="1480" t="str">
        <f>IF(M182&lt;&gt;"",Q$1&amp;M182,"")</f>
        <v>F69</v>
      </c>
      <c r="K182" s="1480" t="str">
        <f t="shared" si="20"/>
        <v>Required Info to Submit</v>
      </c>
      <c r="L182" s="904" t="s">
        <v>1190</v>
      </c>
      <c r="M182" s="1480">
        <v>69</v>
      </c>
      <c r="N182" s="1480"/>
      <c r="O182" s="1477"/>
      <c r="P182" s="1477"/>
      <c r="Q182" s="1477"/>
      <c r="R182" s="1477"/>
      <c r="S182" s="1477"/>
      <c r="T182" s="1477"/>
      <c r="U182" s="1477"/>
      <c r="V182" s="1477"/>
      <c r="W182" s="1477"/>
      <c r="X182" s="1477"/>
      <c r="Y182" s="1477"/>
      <c r="Z182" s="1477"/>
    </row>
    <row r="183" spans="1:26" hidden="1" x14ac:dyDescent="0.25">
      <c r="A183" s="927" t="s">
        <v>1191</v>
      </c>
      <c r="B183" s="867" t="str">
        <f t="shared" ca="1" si="23"/>
        <v>N24</v>
      </c>
      <c r="C183" s="867" t="str">
        <f t="shared" ca="1" si="22"/>
        <v>N</v>
      </c>
      <c r="D183" s="1480" t="s">
        <v>1372</v>
      </c>
      <c r="E183" s="867" t="s">
        <v>1373</v>
      </c>
      <c r="F183" s="1480"/>
      <c r="G183" s="1480"/>
      <c r="H183" s="1480"/>
      <c r="I183" s="1427" t="str">
        <f t="shared" si="18"/>
        <v>Fuel Surcharge Applied</v>
      </c>
      <c r="J183" s="1480" t="str">
        <f>IF(M183&lt;&gt;"",Q$1&amp;M183,"")</f>
        <v>F70</v>
      </c>
      <c r="K183" s="1480" t="str">
        <f t="shared" si="20"/>
        <v>Required Info to Submit</v>
      </c>
      <c r="L183" s="904" t="s">
        <v>1382</v>
      </c>
      <c r="M183" s="1480">
        <v>70</v>
      </c>
      <c r="N183" s="1480"/>
      <c r="O183" s="1477"/>
      <c r="P183" s="1477"/>
      <c r="Q183" s="1477"/>
      <c r="R183" s="1477"/>
      <c r="S183" s="1477"/>
      <c r="T183" s="1477"/>
      <c r="U183" s="1477"/>
      <c r="V183" s="1477"/>
      <c r="W183" s="1477"/>
      <c r="X183" s="1477"/>
      <c r="Y183" s="1477"/>
      <c r="Z183" s="1477"/>
    </row>
    <row r="184" spans="1:26" hidden="1" x14ac:dyDescent="0.25">
      <c r="A184" s="927" t="s">
        <v>1307</v>
      </c>
      <c r="B184" s="867" t="str">
        <f t="shared" ca="1" si="23"/>
        <v>O24</v>
      </c>
      <c r="C184" s="867" t="str">
        <f t="shared" ca="1" si="22"/>
        <v>O</v>
      </c>
      <c r="D184" s="1480" t="s">
        <v>1372</v>
      </c>
      <c r="E184" s="867" t="s">
        <v>1373</v>
      </c>
      <c r="F184" s="1480"/>
      <c r="G184" s="1480"/>
      <c r="H184" s="1480"/>
      <c r="I184" s="1427" t="str">
        <f t="shared" si="18"/>
        <v>Minimum Delivery Charge Applied Flag</v>
      </c>
      <c r="J184" s="1480" t="str">
        <f>IF(M184&lt;&gt;"",Q$1&amp;M184,"")</f>
        <v>F71</v>
      </c>
      <c r="K184" s="1480" t="str">
        <f t="shared" si="20"/>
        <v>Required Info to Submit</v>
      </c>
      <c r="L184" s="904" t="s">
        <v>1307</v>
      </c>
      <c r="M184" s="1480">
        <v>71</v>
      </c>
      <c r="N184" s="1480"/>
      <c r="O184" s="1477"/>
      <c r="P184" s="1477"/>
      <c r="Q184" s="1477"/>
      <c r="R184" s="1477"/>
      <c r="S184" s="1477"/>
      <c r="T184" s="1477"/>
      <c r="U184" s="1477"/>
      <c r="V184" s="1477"/>
      <c r="W184" s="1477"/>
      <c r="X184" s="1477"/>
      <c r="Y184" s="1477"/>
      <c r="Z184" s="1477"/>
    </row>
    <row r="185" spans="1:26" hidden="1" x14ac:dyDescent="0.25">
      <c r="A185" s="927" t="s">
        <v>770</v>
      </c>
      <c r="B185" s="867" t="str">
        <f t="shared" ca="1" si="23"/>
        <v>G24</v>
      </c>
      <c r="C185" s="867" t="str">
        <f t="shared" ca="1" si="22"/>
        <v>G</v>
      </c>
      <c r="D185" s="1480" t="s">
        <v>1372</v>
      </c>
      <c r="E185" s="867" t="s">
        <v>1373</v>
      </c>
      <c r="F185" s="1480"/>
      <c r="G185" s="1480"/>
      <c r="H185" s="1480"/>
      <c r="I185" s="1427" t="str">
        <f t="shared" si="18"/>
        <v>Address</v>
      </c>
      <c r="J185" s="1480" t="str">
        <f>IF(P178="",Q$1&amp;M185,"")</f>
        <v>F72</v>
      </c>
      <c r="K185" s="1480" t="str">
        <f t="shared" si="20"/>
        <v>Required Info to Submit</v>
      </c>
      <c r="L185" s="904" t="s">
        <v>770</v>
      </c>
      <c r="M185" s="1480">
        <v>72</v>
      </c>
      <c r="N185" s="1480"/>
      <c r="O185" s="1477"/>
      <c r="P185" s="1477"/>
      <c r="Q185" s="1477"/>
      <c r="R185" s="1477"/>
      <c r="S185" s="1477"/>
      <c r="T185" s="1477"/>
      <c r="U185" s="1477"/>
      <c r="V185" s="1477"/>
      <c r="W185" s="1477"/>
      <c r="X185" s="1477"/>
      <c r="Y185" s="1477"/>
      <c r="Z185" s="1477"/>
    </row>
    <row r="186" spans="1:26" hidden="1" x14ac:dyDescent="0.25">
      <c r="A186" s="927" t="s">
        <v>771</v>
      </c>
      <c r="B186" s="867" t="str">
        <f t="shared" ca="1" si="23"/>
        <v>H24</v>
      </c>
      <c r="C186" s="867" t="str">
        <f t="shared" ca="1" si="22"/>
        <v>H</v>
      </c>
      <c r="D186" s="1480" t="s">
        <v>1372</v>
      </c>
      <c r="E186" s="867" t="s">
        <v>1373</v>
      </c>
      <c r="F186" s="1480"/>
      <c r="G186" s="1480"/>
      <c r="H186" s="1480"/>
      <c r="I186" s="1427" t="str">
        <f t="shared" si="18"/>
        <v>City</v>
      </c>
      <c r="J186" s="1480" t="str">
        <f>IF(P178="",Q$1&amp;M186,"")</f>
        <v>F73</v>
      </c>
      <c r="K186" s="1480" t="str">
        <f t="shared" si="20"/>
        <v>Required Info to Submit</v>
      </c>
      <c r="L186" s="904" t="s">
        <v>771</v>
      </c>
      <c r="M186" s="1480">
        <v>73</v>
      </c>
      <c r="N186" s="1480"/>
      <c r="O186" s="1477"/>
      <c r="P186" s="1477"/>
      <c r="Q186" s="1477"/>
      <c r="R186" s="1477"/>
      <c r="S186" s="1477"/>
      <c r="T186" s="1477"/>
      <c r="U186" s="1477"/>
      <c r="V186" s="1477"/>
      <c r="W186" s="1477"/>
      <c r="X186" s="1477"/>
      <c r="Y186" s="1477"/>
      <c r="Z186" s="1477"/>
    </row>
    <row r="187" spans="1:26" hidden="1" x14ac:dyDescent="0.25">
      <c r="A187" s="927" t="s">
        <v>772</v>
      </c>
      <c r="B187" s="867" t="str">
        <f t="shared" ca="1" si="23"/>
        <v>I24</v>
      </c>
      <c r="C187" s="867" t="str">
        <f t="shared" ca="1" si="22"/>
        <v>I</v>
      </c>
      <c r="D187" s="1480" t="s">
        <v>1372</v>
      </c>
      <c r="E187" s="867" t="s">
        <v>1373</v>
      </c>
      <c r="F187" s="1480"/>
      <c r="G187" s="1480"/>
      <c r="H187" s="1480"/>
      <c r="I187" s="1427" t="str">
        <f t="shared" si="18"/>
        <v>State</v>
      </c>
      <c r="J187" s="1480" t="str">
        <f>IF(P178="",Q$1&amp;M187,"")</f>
        <v>F74</v>
      </c>
      <c r="K187" s="1480" t="str">
        <f t="shared" si="20"/>
        <v>Required Info to Submit</v>
      </c>
      <c r="L187" s="904" t="s">
        <v>772</v>
      </c>
      <c r="M187" s="1480">
        <v>74</v>
      </c>
      <c r="N187" s="1480"/>
      <c r="O187" s="1477"/>
      <c r="P187" s="1477"/>
      <c r="Q187" s="1477"/>
      <c r="R187" s="1477"/>
      <c r="S187" s="1477"/>
      <c r="T187" s="1477"/>
      <c r="U187" s="1477"/>
      <c r="V187" s="1477"/>
      <c r="W187" s="1477"/>
      <c r="X187" s="1477"/>
      <c r="Y187" s="1477"/>
      <c r="Z187" s="1477"/>
    </row>
    <row r="188" spans="1:26" hidden="1" x14ac:dyDescent="0.25">
      <c r="A188" s="927" t="s">
        <v>204</v>
      </c>
      <c r="B188" s="867" t="str">
        <f t="shared" ca="1" si="23"/>
        <v>J24</v>
      </c>
      <c r="C188" s="867" t="str">
        <f t="shared" ca="1" si="22"/>
        <v>J</v>
      </c>
      <c r="D188" s="1480" t="s">
        <v>1372</v>
      </c>
      <c r="E188" s="867" t="s">
        <v>1373</v>
      </c>
      <c r="F188" s="1480"/>
      <c r="G188" s="1480"/>
      <c r="H188" s="1480"/>
      <c r="I188" s="1427" t="str">
        <f t="shared" si="18"/>
        <v>Zip Code</v>
      </c>
      <c r="J188" s="1480" t="str">
        <f>IF(P178="",Q$1&amp;M188,"")</f>
        <v>F75</v>
      </c>
      <c r="K188" s="1480" t="str">
        <f t="shared" si="20"/>
        <v>Required Info to Submit</v>
      </c>
      <c r="L188" s="904" t="s">
        <v>204</v>
      </c>
      <c r="M188" s="1480">
        <v>75</v>
      </c>
      <c r="N188" s="1480"/>
      <c r="O188" s="1477"/>
      <c r="P188" s="1477"/>
      <c r="Q188" s="1477"/>
      <c r="R188" s="1477"/>
      <c r="S188" s="1477"/>
      <c r="T188" s="1477"/>
      <c r="U188" s="1477"/>
      <c r="V188" s="1477"/>
      <c r="W188" s="1477"/>
      <c r="X188" s="1477"/>
      <c r="Y188" s="1477"/>
      <c r="Z188" s="1477"/>
    </row>
    <row r="189" spans="1:26" hidden="1" x14ac:dyDescent="0.25">
      <c r="A189" s="924" t="s">
        <v>1188</v>
      </c>
      <c r="B189" s="867" t="str">
        <f ca="1">_xlfn.IFNA(_xlfn.CONCAT(SUBSTITUTE(ADDRESS(1,MATCH(A189,INDIRECT("'"&amp;E189&amp;"'"&amp;"!A22:Z22"),0),4),1,""),25),"")</f>
        <v>E25</v>
      </c>
      <c r="C189" s="867" t="str">
        <f t="shared" ca="1" si="22"/>
        <v>E</v>
      </c>
      <c r="D189" s="1480" t="s">
        <v>1372</v>
      </c>
      <c r="E189" s="867" t="s">
        <v>1373</v>
      </c>
      <c r="F189" s="1480"/>
      <c r="G189" s="1480"/>
      <c r="H189" s="1480"/>
      <c r="I189" s="1427" t="str">
        <f t="shared" si="18"/>
        <v/>
      </c>
      <c r="J189" s="1480"/>
      <c r="K189" s="1480" t="str">
        <f t="shared" si="20"/>
        <v/>
      </c>
      <c r="L189" s="904" t="s">
        <v>1188</v>
      </c>
      <c r="M189" s="1480">
        <v>76</v>
      </c>
      <c r="N189" s="1480"/>
      <c r="O189" s="1477"/>
      <c r="P189" s="1480" t="str">
        <f>IFERROR(VLOOKUP(Q$189,'Existing Customers'!$A:$F,1,FALSE),"")</f>
        <v/>
      </c>
      <c r="Q189" s="1480">
        <v>265326</v>
      </c>
      <c r="R189" s="1477"/>
      <c r="S189" s="1477"/>
      <c r="T189" s="1477"/>
      <c r="U189" s="1477"/>
      <c r="V189" s="1477"/>
      <c r="W189" s="1477"/>
      <c r="X189" s="1477"/>
      <c r="Y189" s="1477"/>
      <c r="Z189" s="1477"/>
    </row>
    <row r="190" spans="1:26" hidden="1" x14ac:dyDescent="0.25">
      <c r="A190" s="925" t="s">
        <v>769</v>
      </c>
      <c r="B190" s="867" t="str">
        <f t="shared" ref="B190:B199" ca="1" si="24">_xlfn.IFNA(_xlfn.CONCAT(SUBSTITUTE(ADDRESS(1,MATCH(A190,INDIRECT("'"&amp;E190&amp;"'"&amp;"!A22:Z22"),0),4),1,""),25),"")</f>
        <v>F25</v>
      </c>
      <c r="C190" s="867" t="str">
        <f t="shared" ca="1" si="22"/>
        <v>F</v>
      </c>
      <c r="D190" s="1480" t="s">
        <v>1372</v>
      </c>
      <c r="E190" s="867" t="s">
        <v>1373</v>
      </c>
      <c r="F190" s="1480"/>
      <c r="G190" s="1480"/>
      <c r="H190" s="1480"/>
      <c r="I190" s="1427" t="str">
        <f t="shared" si="18"/>
        <v>Name</v>
      </c>
      <c r="J190" s="1480" t="str">
        <f>IF(P189="",Q$1&amp;M190,"")</f>
        <v>F78</v>
      </c>
      <c r="K190" s="1480" t="str">
        <f t="shared" si="20"/>
        <v>Required Info to Submit</v>
      </c>
      <c r="L190" s="904" t="s">
        <v>769</v>
      </c>
      <c r="M190" s="1480">
        <v>78</v>
      </c>
      <c r="N190" s="1480"/>
      <c r="O190" s="1477"/>
      <c r="P190" s="1477"/>
      <c r="Q190" s="1477"/>
      <c r="R190" s="1477"/>
      <c r="S190" s="1477"/>
      <c r="T190" s="1477"/>
      <c r="U190" s="1477"/>
      <c r="V190" s="1477"/>
      <c r="W190" s="1477"/>
      <c r="X190" s="1477"/>
      <c r="Y190" s="1477"/>
      <c r="Z190" s="1477"/>
    </row>
    <row r="191" spans="1:26" hidden="1" x14ac:dyDescent="0.25">
      <c r="A191" s="925" t="s">
        <v>768</v>
      </c>
      <c r="B191" s="867" t="str">
        <f t="shared" ca="1" si="24"/>
        <v>K25</v>
      </c>
      <c r="C191" s="867" t="str">
        <f t="shared" ca="1" si="22"/>
        <v>K</v>
      </c>
      <c r="D191" s="1480" t="s">
        <v>1372</v>
      </c>
      <c r="E191" s="867" t="s">
        <v>1373</v>
      </c>
      <c r="F191" s="1480"/>
      <c r="G191" s="1480"/>
      <c r="H191" s="1480"/>
      <c r="I191" s="1427" t="str">
        <f t="shared" si="18"/>
        <v/>
      </c>
      <c r="J191" s="1480"/>
      <c r="K191" s="1480" t="str">
        <f t="shared" si="20"/>
        <v/>
      </c>
      <c r="L191" s="904" t="s">
        <v>768</v>
      </c>
      <c r="M191" s="1480">
        <v>88</v>
      </c>
      <c r="N191" s="1480"/>
      <c r="O191" s="1477"/>
      <c r="P191" s="1477"/>
      <c r="Q191" s="1477"/>
      <c r="R191" s="1477"/>
      <c r="S191" s="1477"/>
      <c r="T191" s="1477"/>
      <c r="U191" s="1477"/>
      <c r="V191" s="1477"/>
      <c r="W191" s="1477"/>
      <c r="X191" s="1477"/>
      <c r="Y191" s="1477"/>
      <c r="Z191" s="1477"/>
    </row>
    <row r="192" spans="1:26" hidden="1" x14ac:dyDescent="0.25">
      <c r="A192" s="925" t="s">
        <v>1189</v>
      </c>
      <c r="B192" s="867" t="str">
        <f t="shared" ca="1" si="24"/>
        <v>L25</v>
      </c>
      <c r="C192" s="867" t="str">
        <f t="shared" ca="1" si="22"/>
        <v>L</v>
      </c>
      <c r="D192" s="1480" t="s">
        <v>1372</v>
      </c>
      <c r="E192" s="867" t="s">
        <v>1373</v>
      </c>
      <c r="F192" s="1480"/>
      <c r="G192" s="1480"/>
      <c r="H192" s="1480"/>
      <c r="I192" s="1427" t="str">
        <f t="shared" si="18"/>
        <v/>
      </c>
      <c r="J192" s="1480"/>
      <c r="K192" s="1480" t="str">
        <f t="shared" si="20"/>
        <v/>
      </c>
      <c r="L192" s="904" t="s">
        <v>1189</v>
      </c>
      <c r="M192" s="1480">
        <v>89</v>
      </c>
      <c r="N192" s="1480"/>
      <c r="O192" s="1477"/>
      <c r="P192" s="1477"/>
      <c r="Q192" s="1477"/>
      <c r="R192" s="1477"/>
      <c r="S192" s="1477"/>
      <c r="T192" s="1477"/>
      <c r="U192" s="1477"/>
      <c r="V192" s="1477"/>
      <c r="W192" s="1477"/>
      <c r="X192" s="1477"/>
      <c r="Y192" s="1477"/>
      <c r="Z192" s="1477"/>
    </row>
    <row r="193" spans="1:26" hidden="1" x14ac:dyDescent="0.25">
      <c r="A193" s="925" t="s">
        <v>1190</v>
      </c>
      <c r="B193" s="867" t="str">
        <f t="shared" ca="1" si="24"/>
        <v>M25</v>
      </c>
      <c r="C193" s="867" t="str">
        <f t="shared" ca="1" si="22"/>
        <v>M</v>
      </c>
      <c r="D193" s="1480" t="s">
        <v>1372</v>
      </c>
      <c r="E193" s="867" t="s">
        <v>1373</v>
      </c>
      <c r="F193" s="1480"/>
      <c r="G193" s="1480"/>
      <c r="H193" s="1480"/>
      <c r="I193" s="1427" t="str">
        <f t="shared" si="18"/>
        <v>Secondary or Internal Customer</v>
      </c>
      <c r="J193" s="1480" t="str">
        <f>IF(M193&lt;&gt;"",Q$1&amp;M193,"")</f>
        <v>F90</v>
      </c>
      <c r="K193" s="1480" t="str">
        <f t="shared" si="20"/>
        <v>Required Info to Submit</v>
      </c>
      <c r="L193" s="904" t="s">
        <v>1190</v>
      </c>
      <c r="M193" s="1480">
        <v>90</v>
      </c>
      <c r="N193" s="1480"/>
      <c r="O193" s="1477"/>
      <c r="P193" s="1477"/>
      <c r="Q193" s="1477"/>
      <c r="R193" s="1477"/>
      <c r="S193" s="1477"/>
      <c r="T193" s="1477"/>
      <c r="U193" s="1477"/>
      <c r="V193" s="1477"/>
      <c r="W193" s="1477"/>
      <c r="X193" s="1477"/>
      <c r="Y193" s="1477"/>
      <c r="Z193" s="1477"/>
    </row>
    <row r="194" spans="1:26" hidden="1" x14ac:dyDescent="0.25">
      <c r="A194" s="925" t="s">
        <v>1191</v>
      </c>
      <c r="B194" s="867" t="str">
        <f t="shared" ca="1" si="24"/>
        <v>N25</v>
      </c>
      <c r="C194" s="867" t="str">
        <f t="shared" ca="1" si="22"/>
        <v>N</v>
      </c>
      <c r="D194" s="1480" t="s">
        <v>1372</v>
      </c>
      <c r="E194" s="867" t="s">
        <v>1373</v>
      </c>
      <c r="F194" s="1480"/>
      <c r="G194" s="1480"/>
      <c r="H194" s="1480"/>
      <c r="I194" s="1427" t="str">
        <f t="shared" si="18"/>
        <v>Fuel Surcharge Applied</v>
      </c>
      <c r="J194" s="1480" t="str">
        <f>IF(M194&lt;&gt;"",Q$1&amp;M194,"")</f>
        <v>F91</v>
      </c>
      <c r="K194" s="1480" t="str">
        <f t="shared" si="20"/>
        <v>Required Info to Submit</v>
      </c>
      <c r="L194" s="904" t="s">
        <v>1382</v>
      </c>
      <c r="M194" s="1480">
        <v>91</v>
      </c>
      <c r="N194" s="1480"/>
      <c r="O194" s="1477"/>
      <c r="P194" s="1477"/>
      <c r="Q194" s="1477"/>
      <c r="R194" s="1477"/>
      <c r="S194" s="1477"/>
      <c r="T194" s="1477"/>
      <c r="U194" s="1477"/>
      <c r="V194" s="1477"/>
      <c r="W194" s="1477"/>
      <c r="X194" s="1477"/>
      <c r="Y194" s="1477"/>
      <c r="Z194" s="1477"/>
    </row>
    <row r="195" spans="1:26" hidden="1" x14ac:dyDescent="0.25">
      <c r="A195" s="925" t="s">
        <v>1307</v>
      </c>
      <c r="B195" s="867" t="str">
        <f t="shared" ca="1" si="24"/>
        <v>O25</v>
      </c>
      <c r="C195" s="867" t="str">
        <f t="shared" ca="1" si="22"/>
        <v>O</v>
      </c>
      <c r="D195" s="1480" t="s">
        <v>1372</v>
      </c>
      <c r="E195" s="867" t="s">
        <v>1373</v>
      </c>
      <c r="F195" s="1480"/>
      <c r="G195" s="1480"/>
      <c r="H195" s="1480"/>
      <c r="I195" s="1427" t="str">
        <f t="shared" si="18"/>
        <v>Minimum Delivery Charge Applied Flag</v>
      </c>
      <c r="J195" s="1480" t="str">
        <f>IF(M195&lt;&gt;"",Q$1&amp;M195,"")</f>
        <v>F92</v>
      </c>
      <c r="K195" s="1480" t="str">
        <f t="shared" si="20"/>
        <v>Required Info to Submit</v>
      </c>
      <c r="L195" s="904" t="s">
        <v>1307</v>
      </c>
      <c r="M195" s="1480">
        <v>92</v>
      </c>
      <c r="N195" s="1480"/>
      <c r="O195" s="1477"/>
      <c r="P195" s="1477"/>
      <c r="Q195" s="1477"/>
      <c r="R195" s="1477"/>
      <c r="S195" s="1477"/>
      <c r="T195" s="1477"/>
      <c r="U195" s="1477"/>
      <c r="V195" s="1477"/>
      <c r="W195" s="1477"/>
      <c r="X195" s="1477"/>
      <c r="Y195" s="1477"/>
      <c r="Z195" s="1477"/>
    </row>
    <row r="196" spans="1:26" hidden="1" x14ac:dyDescent="0.25">
      <c r="A196" s="925" t="s">
        <v>770</v>
      </c>
      <c r="B196" s="867" t="str">
        <f t="shared" ca="1" si="24"/>
        <v>G25</v>
      </c>
      <c r="C196" s="867" t="str">
        <f t="shared" ca="1" si="22"/>
        <v>G</v>
      </c>
      <c r="D196" s="1480" t="s">
        <v>1372</v>
      </c>
      <c r="E196" s="867" t="s">
        <v>1373</v>
      </c>
      <c r="F196" s="1480"/>
      <c r="G196" s="1480"/>
      <c r="H196" s="1480"/>
      <c r="I196" s="1427" t="str">
        <f t="shared" ref="I196:I259" si="25">IF(J196&lt;&gt;"",A196,"")</f>
        <v>Address</v>
      </c>
      <c r="J196" s="1480" t="str">
        <f>IF(P189="",Q$1&amp;M196,"")</f>
        <v>F93</v>
      </c>
      <c r="K196" s="1480" t="str">
        <f t="shared" ref="K196:K259" si="26">IF(J196&lt;&gt;"",E196,"")</f>
        <v>Required Info to Submit</v>
      </c>
      <c r="L196" s="904" t="s">
        <v>770</v>
      </c>
      <c r="M196" s="1480">
        <v>93</v>
      </c>
      <c r="N196" s="1480"/>
      <c r="O196" s="1477"/>
      <c r="P196" s="1477"/>
      <c r="Q196" s="1477"/>
      <c r="R196" s="1477"/>
      <c r="S196" s="1477"/>
      <c r="T196" s="1477"/>
      <c r="U196" s="1477"/>
      <c r="V196" s="1477"/>
      <c r="W196" s="1477"/>
      <c r="X196" s="1477"/>
      <c r="Y196" s="1477"/>
      <c r="Z196" s="1477"/>
    </row>
    <row r="197" spans="1:26" hidden="1" x14ac:dyDescent="0.25">
      <c r="A197" s="925" t="s">
        <v>771</v>
      </c>
      <c r="B197" s="867" t="str">
        <f t="shared" ca="1" si="24"/>
        <v>H25</v>
      </c>
      <c r="C197" s="867" t="str">
        <f t="shared" ca="1" si="22"/>
        <v>H</v>
      </c>
      <c r="D197" s="1480" t="s">
        <v>1372</v>
      </c>
      <c r="E197" s="867" t="s">
        <v>1373</v>
      </c>
      <c r="F197" s="1480"/>
      <c r="G197" s="1480"/>
      <c r="H197" s="1480"/>
      <c r="I197" s="1427" t="str">
        <f t="shared" si="25"/>
        <v>City</v>
      </c>
      <c r="J197" s="1480" t="str">
        <f>IF(P189="",Q$1&amp;M197,"")</f>
        <v>F94</v>
      </c>
      <c r="K197" s="1480" t="str">
        <f t="shared" si="26"/>
        <v>Required Info to Submit</v>
      </c>
      <c r="L197" s="904" t="s">
        <v>771</v>
      </c>
      <c r="M197" s="1480">
        <v>94</v>
      </c>
      <c r="N197" s="1480"/>
      <c r="O197" s="1477"/>
      <c r="P197" s="1477"/>
      <c r="Q197" s="1477"/>
      <c r="R197" s="1477"/>
      <c r="S197" s="1477"/>
      <c r="T197" s="1477"/>
      <c r="U197" s="1477"/>
      <c r="V197" s="1477"/>
      <c r="W197" s="1477"/>
      <c r="X197" s="1477"/>
      <c r="Y197" s="1477"/>
      <c r="Z197" s="1477"/>
    </row>
    <row r="198" spans="1:26" hidden="1" x14ac:dyDescent="0.25">
      <c r="A198" s="925" t="s">
        <v>772</v>
      </c>
      <c r="B198" s="867" t="str">
        <f t="shared" ca="1" si="24"/>
        <v>I25</v>
      </c>
      <c r="C198" s="867" t="str">
        <f t="shared" ca="1" si="22"/>
        <v>I</v>
      </c>
      <c r="D198" s="1480" t="s">
        <v>1372</v>
      </c>
      <c r="E198" s="867" t="s">
        <v>1373</v>
      </c>
      <c r="F198" s="1480"/>
      <c r="G198" s="1480"/>
      <c r="H198" s="1480"/>
      <c r="I198" s="1427" t="str">
        <f t="shared" si="25"/>
        <v>State</v>
      </c>
      <c r="J198" s="1480" t="str">
        <f>IF(P189="",Q$1&amp;M198,"")</f>
        <v>F95</v>
      </c>
      <c r="K198" s="1480" t="str">
        <f t="shared" si="26"/>
        <v>Required Info to Submit</v>
      </c>
      <c r="L198" s="904" t="s">
        <v>772</v>
      </c>
      <c r="M198" s="1480">
        <v>95</v>
      </c>
      <c r="N198" s="1480"/>
      <c r="O198" s="1477"/>
      <c r="P198" s="1477"/>
      <c r="Q198" s="1477"/>
      <c r="R198" s="1477"/>
      <c r="S198" s="1477"/>
      <c r="T198" s="1477"/>
      <c r="U198" s="1477"/>
      <c r="V198" s="1477"/>
      <c r="W198" s="1477"/>
      <c r="X198" s="1477"/>
      <c r="Y198" s="1477"/>
      <c r="Z198" s="1477"/>
    </row>
    <row r="199" spans="1:26" hidden="1" x14ac:dyDescent="0.25">
      <c r="A199" s="925" t="s">
        <v>204</v>
      </c>
      <c r="B199" s="867" t="str">
        <f t="shared" ca="1" si="24"/>
        <v>J25</v>
      </c>
      <c r="C199" s="867" t="str">
        <f t="shared" ca="1" si="22"/>
        <v>J</v>
      </c>
      <c r="D199" s="1480" t="s">
        <v>1372</v>
      </c>
      <c r="E199" s="867" t="s">
        <v>1373</v>
      </c>
      <c r="F199" s="1480"/>
      <c r="G199" s="1480"/>
      <c r="H199" s="1480"/>
      <c r="I199" s="1427" t="str">
        <f t="shared" si="25"/>
        <v>Zip Code</v>
      </c>
      <c r="J199" s="1480" t="str">
        <f>IF(P189="",Q$1&amp;M199,"")</f>
        <v>F96</v>
      </c>
      <c r="K199" s="1480" t="str">
        <f t="shared" si="26"/>
        <v>Required Info to Submit</v>
      </c>
      <c r="L199" s="904" t="s">
        <v>204</v>
      </c>
      <c r="M199" s="1480">
        <v>96</v>
      </c>
      <c r="N199" s="1480"/>
      <c r="O199" s="1477"/>
      <c r="P199" s="1477"/>
      <c r="Q199" s="1477"/>
      <c r="R199" s="1477"/>
      <c r="S199" s="1477"/>
      <c r="T199" s="1477"/>
      <c r="U199" s="1477"/>
      <c r="V199" s="1477"/>
      <c r="W199" s="1477"/>
      <c r="X199" s="1477"/>
      <c r="Y199" s="1477"/>
      <c r="Z199" s="1477"/>
    </row>
    <row r="200" spans="1:26" hidden="1" x14ac:dyDescent="0.25">
      <c r="A200" s="926" t="s">
        <v>1188</v>
      </c>
      <c r="B200" s="867" t="str">
        <f ca="1">_xlfn.IFNA(_xlfn.CONCAT(SUBSTITUTE(ADDRESS(1,MATCH(A200,INDIRECT("'"&amp;E200&amp;"'"&amp;"!A22:Z22"),0),4),1,""),26),"")</f>
        <v>E26</v>
      </c>
      <c r="C200" s="867" t="str">
        <f t="shared" ca="1" si="22"/>
        <v>E</v>
      </c>
      <c r="D200" s="1480" t="s">
        <v>1372</v>
      </c>
      <c r="E200" s="867" t="s">
        <v>1373</v>
      </c>
      <c r="F200" s="1480"/>
      <c r="G200" s="1480"/>
      <c r="H200" s="1480"/>
      <c r="I200" s="1427" t="str">
        <f t="shared" si="25"/>
        <v/>
      </c>
      <c r="J200" s="1480"/>
      <c r="K200" s="1480" t="str">
        <f t="shared" si="26"/>
        <v/>
      </c>
      <c r="L200" s="904" t="s">
        <v>1188</v>
      </c>
      <c r="M200" s="1480">
        <v>97</v>
      </c>
      <c r="N200" s="1480"/>
      <c r="O200" s="1477"/>
      <c r="P200" s="1480" t="str">
        <f>IFERROR(VLOOKUP(Q$200,'Existing Customers'!$A:$F,1,FALSE),"")</f>
        <v/>
      </c>
      <c r="Q200" s="1480"/>
      <c r="R200" s="1477"/>
      <c r="S200" s="1477"/>
      <c r="T200" s="1477"/>
      <c r="U200" s="1477"/>
      <c r="V200" s="1477"/>
      <c r="W200" s="1477"/>
      <c r="X200" s="1477"/>
      <c r="Y200" s="1477"/>
      <c r="Z200" s="1477"/>
    </row>
    <row r="201" spans="1:26" hidden="1" x14ac:dyDescent="0.25">
      <c r="A201" s="927" t="s">
        <v>769</v>
      </c>
      <c r="B201" s="867" t="str">
        <f t="shared" ref="B201:B210" ca="1" si="27">_xlfn.IFNA(_xlfn.CONCAT(SUBSTITUTE(ADDRESS(1,MATCH(A201,INDIRECT("'"&amp;E201&amp;"'"&amp;"!A22:Z22"),0),4),1,""),26),"")</f>
        <v>F26</v>
      </c>
      <c r="C201" s="867" t="str">
        <f t="shared" ca="1" si="22"/>
        <v>F</v>
      </c>
      <c r="D201" s="1480" t="s">
        <v>1372</v>
      </c>
      <c r="E201" s="867" t="s">
        <v>1373</v>
      </c>
      <c r="F201" s="1480"/>
      <c r="G201" s="1480"/>
      <c r="H201" s="1480"/>
      <c r="I201" s="1427" t="str">
        <f t="shared" si="25"/>
        <v>Name</v>
      </c>
      <c r="J201" s="1480" t="str">
        <f>IF(P200="",Q$1&amp;M201,"")</f>
        <v>F99</v>
      </c>
      <c r="K201" s="1480" t="str">
        <f t="shared" si="26"/>
        <v>Required Info to Submit</v>
      </c>
      <c r="L201" s="904" t="s">
        <v>769</v>
      </c>
      <c r="M201" s="1480">
        <v>99</v>
      </c>
      <c r="N201" s="1480"/>
      <c r="O201" s="1477"/>
      <c r="P201" s="1477"/>
      <c r="Q201" s="1477"/>
      <c r="R201" s="1477"/>
      <c r="S201" s="1477"/>
      <c r="T201" s="1477"/>
      <c r="U201" s="1477"/>
      <c r="V201" s="1477"/>
      <c r="W201" s="1477"/>
      <c r="X201" s="1477"/>
      <c r="Y201" s="1477"/>
      <c r="Z201" s="1477"/>
    </row>
    <row r="202" spans="1:26" hidden="1" x14ac:dyDescent="0.25">
      <c r="A202" s="927" t="s">
        <v>768</v>
      </c>
      <c r="B202" s="867" t="str">
        <f t="shared" ca="1" si="27"/>
        <v>K26</v>
      </c>
      <c r="C202" s="867" t="str">
        <f t="shared" ca="1" si="22"/>
        <v>K</v>
      </c>
      <c r="D202" s="1480" t="s">
        <v>1372</v>
      </c>
      <c r="E202" s="867" t="s">
        <v>1373</v>
      </c>
      <c r="F202" s="1480"/>
      <c r="G202" s="1480"/>
      <c r="H202" s="1480"/>
      <c r="I202" s="1427" t="str">
        <f t="shared" si="25"/>
        <v/>
      </c>
      <c r="J202" s="1480"/>
      <c r="K202" s="1480" t="str">
        <f t="shared" si="26"/>
        <v/>
      </c>
      <c r="L202" s="904" t="s">
        <v>768</v>
      </c>
      <c r="M202" s="1480">
        <v>109</v>
      </c>
      <c r="N202" s="1480"/>
      <c r="O202" s="1477"/>
      <c r="P202" s="1477"/>
      <c r="Q202" s="1477"/>
      <c r="R202" s="1477"/>
      <c r="S202" s="1477"/>
      <c r="T202" s="1477"/>
      <c r="U202" s="1477"/>
      <c r="V202" s="1477"/>
      <c r="W202" s="1477"/>
      <c r="X202" s="1477"/>
      <c r="Y202" s="1477"/>
      <c r="Z202" s="1477"/>
    </row>
    <row r="203" spans="1:26" hidden="1" x14ac:dyDescent="0.25">
      <c r="A203" s="927" t="s">
        <v>1189</v>
      </c>
      <c r="B203" s="867" t="str">
        <f t="shared" ca="1" si="27"/>
        <v>L26</v>
      </c>
      <c r="C203" s="867" t="str">
        <f t="shared" ca="1" si="22"/>
        <v>L</v>
      </c>
      <c r="D203" s="1480" t="s">
        <v>1372</v>
      </c>
      <c r="E203" s="867" t="s">
        <v>1373</v>
      </c>
      <c r="F203" s="1480"/>
      <c r="G203" s="1480"/>
      <c r="H203" s="1480"/>
      <c r="I203" s="1427" t="str">
        <f t="shared" si="25"/>
        <v/>
      </c>
      <c r="J203" s="1480"/>
      <c r="K203" s="1480" t="str">
        <f t="shared" si="26"/>
        <v/>
      </c>
      <c r="L203" s="904" t="s">
        <v>1189</v>
      </c>
      <c r="M203" s="1480">
        <v>110</v>
      </c>
      <c r="N203" s="1480"/>
      <c r="O203" s="1477"/>
      <c r="P203" s="1477"/>
      <c r="Q203" s="1477"/>
      <c r="R203" s="1477"/>
      <c r="S203" s="1477"/>
      <c r="T203" s="1477"/>
      <c r="U203" s="1477"/>
      <c r="V203" s="1477"/>
      <c r="W203" s="1477"/>
      <c r="X203" s="1477"/>
      <c r="Y203" s="1477"/>
      <c r="Z203" s="1477"/>
    </row>
    <row r="204" spans="1:26" hidden="1" x14ac:dyDescent="0.25">
      <c r="A204" s="927" t="s">
        <v>1190</v>
      </c>
      <c r="B204" s="867" t="str">
        <f t="shared" ca="1" si="27"/>
        <v>M26</v>
      </c>
      <c r="C204" s="867" t="str">
        <f t="shared" ca="1" si="22"/>
        <v>M</v>
      </c>
      <c r="D204" s="1480" t="s">
        <v>1372</v>
      </c>
      <c r="E204" s="867" t="s">
        <v>1373</v>
      </c>
      <c r="F204" s="1480"/>
      <c r="G204" s="1480"/>
      <c r="H204" s="1480"/>
      <c r="I204" s="1427" t="str">
        <f t="shared" si="25"/>
        <v>Secondary or Internal Customer</v>
      </c>
      <c r="J204" s="1480" t="str">
        <f>IF(M204&lt;&gt;"",Q$1&amp;M204,"")</f>
        <v>F111</v>
      </c>
      <c r="K204" s="1480" t="str">
        <f t="shared" si="26"/>
        <v>Required Info to Submit</v>
      </c>
      <c r="L204" s="904" t="s">
        <v>1190</v>
      </c>
      <c r="M204" s="1480">
        <v>111</v>
      </c>
      <c r="N204" s="1480"/>
      <c r="O204" s="1477"/>
      <c r="P204" s="1477"/>
      <c r="Q204" s="1477"/>
      <c r="R204" s="1477"/>
      <c r="S204" s="1477"/>
      <c r="T204" s="1477"/>
      <c r="U204" s="1477"/>
      <c r="V204" s="1477"/>
      <c r="W204" s="1477"/>
      <c r="X204" s="1477"/>
      <c r="Y204" s="1477"/>
      <c r="Z204" s="1477"/>
    </row>
    <row r="205" spans="1:26" hidden="1" x14ac:dyDescent="0.25">
      <c r="A205" s="927" t="s">
        <v>1191</v>
      </c>
      <c r="B205" s="867" t="str">
        <f t="shared" ca="1" si="27"/>
        <v>N26</v>
      </c>
      <c r="C205" s="867" t="str">
        <f t="shared" ca="1" si="22"/>
        <v>N</v>
      </c>
      <c r="D205" s="1480" t="s">
        <v>1372</v>
      </c>
      <c r="E205" s="867" t="s">
        <v>1373</v>
      </c>
      <c r="F205" s="1480"/>
      <c r="G205" s="1480"/>
      <c r="H205" s="1480"/>
      <c r="I205" s="1427" t="str">
        <f t="shared" si="25"/>
        <v>Fuel Surcharge Applied</v>
      </c>
      <c r="J205" s="1480" t="str">
        <f>IF(M205&lt;&gt;"",Q$1&amp;M205,"")</f>
        <v>F112</v>
      </c>
      <c r="K205" s="1480" t="str">
        <f t="shared" si="26"/>
        <v>Required Info to Submit</v>
      </c>
      <c r="L205" s="904" t="s">
        <v>1382</v>
      </c>
      <c r="M205" s="1480">
        <v>112</v>
      </c>
      <c r="N205" s="1480"/>
      <c r="O205" s="1477"/>
      <c r="P205" s="1477"/>
      <c r="Q205" s="1477"/>
      <c r="R205" s="1477"/>
      <c r="S205" s="1477"/>
      <c r="T205" s="1477"/>
      <c r="U205" s="1477"/>
      <c r="V205" s="1477"/>
      <c r="W205" s="1477"/>
      <c r="X205" s="1477"/>
      <c r="Y205" s="1477"/>
      <c r="Z205" s="1477"/>
    </row>
    <row r="206" spans="1:26" hidden="1" x14ac:dyDescent="0.25">
      <c r="A206" s="927" t="s">
        <v>1307</v>
      </c>
      <c r="B206" s="867" t="str">
        <f t="shared" ca="1" si="27"/>
        <v>O26</v>
      </c>
      <c r="C206" s="867" t="str">
        <f t="shared" ca="1" si="22"/>
        <v>O</v>
      </c>
      <c r="D206" s="1480" t="s">
        <v>1372</v>
      </c>
      <c r="E206" s="867" t="s">
        <v>1373</v>
      </c>
      <c r="F206" s="1480"/>
      <c r="G206" s="1480"/>
      <c r="H206" s="1480"/>
      <c r="I206" s="1427" t="str">
        <f t="shared" si="25"/>
        <v>Minimum Delivery Charge Applied Flag</v>
      </c>
      <c r="J206" s="1480" t="str">
        <f>IF(M206&lt;&gt;"",Q$1&amp;M206,"")</f>
        <v>F113</v>
      </c>
      <c r="K206" s="1480" t="str">
        <f t="shared" si="26"/>
        <v>Required Info to Submit</v>
      </c>
      <c r="L206" s="904" t="s">
        <v>1307</v>
      </c>
      <c r="M206" s="1480">
        <v>113</v>
      </c>
      <c r="N206" s="1480"/>
      <c r="O206" s="1477"/>
      <c r="P206" s="1477"/>
      <c r="Q206" s="1477"/>
      <c r="R206" s="1477"/>
      <c r="S206" s="1477"/>
      <c r="T206" s="1477"/>
      <c r="U206" s="1477"/>
      <c r="V206" s="1477"/>
      <c r="W206" s="1477"/>
      <c r="X206" s="1477"/>
      <c r="Y206" s="1477"/>
      <c r="Z206" s="1477"/>
    </row>
    <row r="207" spans="1:26" hidden="1" x14ac:dyDescent="0.25">
      <c r="A207" s="927" t="s">
        <v>770</v>
      </c>
      <c r="B207" s="867" t="str">
        <f t="shared" ca="1" si="27"/>
        <v>G26</v>
      </c>
      <c r="C207" s="867" t="str">
        <f t="shared" ca="1" si="22"/>
        <v>G</v>
      </c>
      <c r="D207" s="1480" t="s">
        <v>1372</v>
      </c>
      <c r="E207" s="867" t="s">
        <v>1373</v>
      </c>
      <c r="F207" s="1480"/>
      <c r="G207" s="1480"/>
      <c r="H207" s="1480"/>
      <c r="I207" s="1427" t="str">
        <f t="shared" si="25"/>
        <v>Address</v>
      </c>
      <c r="J207" s="1480" t="str">
        <f>IF(P200="",Q$1&amp;M207,"")</f>
        <v>F114</v>
      </c>
      <c r="K207" s="1480" t="str">
        <f t="shared" si="26"/>
        <v>Required Info to Submit</v>
      </c>
      <c r="L207" s="904" t="s">
        <v>770</v>
      </c>
      <c r="M207" s="1480">
        <v>114</v>
      </c>
      <c r="N207" s="1480"/>
      <c r="O207" s="1477"/>
      <c r="P207" s="1477"/>
      <c r="Q207" s="1477"/>
      <c r="R207" s="1477"/>
      <c r="S207" s="1477"/>
      <c r="T207" s="1477"/>
      <c r="U207" s="1477"/>
      <c r="V207" s="1477"/>
      <c r="W207" s="1477"/>
      <c r="X207" s="1477"/>
      <c r="Y207" s="1477"/>
      <c r="Z207" s="1477"/>
    </row>
    <row r="208" spans="1:26" hidden="1" x14ac:dyDescent="0.25">
      <c r="A208" s="927" t="s">
        <v>771</v>
      </c>
      <c r="B208" s="867" t="str">
        <f t="shared" ca="1" si="27"/>
        <v>H26</v>
      </c>
      <c r="C208" s="867" t="str">
        <f t="shared" ca="1" si="22"/>
        <v>H</v>
      </c>
      <c r="D208" s="1480" t="s">
        <v>1372</v>
      </c>
      <c r="E208" s="867" t="s">
        <v>1373</v>
      </c>
      <c r="F208" s="1480"/>
      <c r="G208" s="1480"/>
      <c r="H208" s="1480"/>
      <c r="I208" s="1427" t="str">
        <f t="shared" si="25"/>
        <v>City</v>
      </c>
      <c r="J208" s="1480" t="str">
        <f>IF(P200="",Q$1&amp;M208,"")</f>
        <v>F115</v>
      </c>
      <c r="K208" s="1480" t="str">
        <f t="shared" si="26"/>
        <v>Required Info to Submit</v>
      </c>
      <c r="L208" s="904" t="s">
        <v>771</v>
      </c>
      <c r="M208" s="1480">
        <v>115</v>
      </c>
      <c r="N208" s="1480"/>
      <c r="O208" s="1477"/>
      <c r="P208" s="1477"/>
      <c r="Q208" s="1477"/>
      <c r="R208" s="1477"/>
      <c r="S208" s="1477"/>
      <c r="T208" s="1477"/>
      <c r="U208" s="1477"/>
      <c r="V208" s="1477"/>
      <c r="W208" s="1477"/>
      <c r="X208" s="1477"/>
      <c r="Y208" s="1477"/>
      <c r="Z208" s="1477"/>
    </row>
    <row r="209" spans="1:26" hidden="1" x14ac:dyDescent="0.25">
      <c r="A209" s="927" t="s">
        <v>772</v>
      </c>
      <c r="B209" s="867" t="str">
        <f t="shared" ca="1" si="27"/>
        <v>I26</v>
      </c>
      <c r="C209" s="867" t="str">
        <f t="shared" ca="1" si="22"/>
        <v>I</v>
      </c>
      <c r="D209" s="1480" t="s">
        <v>1372</v>
      </c>
      <c r="E209" s="867" t="s">
        <v>1373</v>
      </c>
      <c r="F209" s="1480"/>
      <c r="G209" s="1480"/>
      <c r="H209" s="1480"/>
      <c r="I209" s="1427" t="str">
        <f t="shared" si="25"/>
        <v>State</v>
      </c>
      <c r="J209" s="1480" t="str">
        <f>IF(P200="",Q$1&amp;M209,"")</f>
        <v>F116</v>
      </c>
      <c r="K209" s="1480" t="str">
        <f t="shared" si="26"/>
        <v>Required Info to Submit</v>
      </c>
      <c r="L209" s="904" t="s">
        <v>772</v>
      </c>
      <c r="M209" s="1480">
        <v>116</v>
      </c>
      <c r="N209" s="1480"/>
      <c r="O209" s="1477"/>
      <c r="P209" s="1477"/>
      <c r="Q209" s="1477"/>
      <c r="R209" s="1477"/>
      <c r="S209" s="1477"/>
      <c r="T209" s="1477"/>
      <c r="U209" s="1477"/>
      <c r="V209" s="1477"/>
      <c r="W209" s="1477"/>
      <c r="X209" s="1477"/>
      <c r="Y209" s="1477"/>
      <c r="Z209" s="1477"/>
    </row>
    <row r="210" spans="1:26" hidden="1" x14ac:dyDescent="0.25">
      <c r="A210" s="927" t="s">
        <v>204</v>
      </c>
      <c r="B210" s="867" t="str">
        <f t="shared" ca="1" si="27"/>
        <v>J26</v>
      </c>
      <c r="C210" s="867" t="str">
        <f t="shared" ca="1" si="22"/>
        <v>J</v>
      </c>
      <c r="D210" s="1480" t="s">
        <v>1372</v>
      </c>
      <c r="E210" s="867" t="s">
        <v>1373</v>
      </c>
      <c r="F210" s="1480"/>
      <c r="G210" s="1480"/>
      <c r="H210" s="1480"/>
      <c r="I210" s="1427" t="str">
        <f t="shared" si="25"/>
        <v>Zip Code</v>
      </c>
      <c r="J210" s="1480" t="str">
        <f>IF(P200="",Q$1&amp;M210,"")</f>
        <v>F117</v>
      </c>
      <c r="K210" s="1480" t="str">
        <f t="shared" si="26"/>
        <v>Required Info to Submit</v>
      </c>
      <c r="L210" s="904" t="s">
        <v>204</v>
      </c>
      <c r="M210" s="1480">
        <v>117</v>
      </c>
      <c r="N210" s="1480"/>
      <c r="O210" s="1477"/>
      <c r="P210" s="1477"/>
      <c r="Q210" s="1477"/>
      <c r="R210" s="1477"/>
      <c r="S210" s="1477"/>
      <c r="T210" s="1477"/>
      <c r="U210" s="1477"/>
      <c r="V210" s="1477"/>
      <c r="W210" s="1477"/>
      <c r="X210" s="1477"/>
      <c r="Y210" s="1477"/>
      <c r="Z210" s="1477"/>
    </row>
    <row r="211" spans="1:26" hidden="1" x14ac:dyDescent="0.25">
      <c r="A211" s="924" t="s">
        <v>1188</v>
      </c>
      <c r="B211" s="867" t="str">
        <f ca="1">_xlfn.IFNA(_xlfn.CONCAT(SUBSTITUTE(ADDRESS(1,MATCH(A211,INDIRECT("'"&amp;E211&amp;"'"&amp;"!A22:Z22"),0),4),1,""),27),"")</f>
        <v>E27</v>
      </c>
      <c r="C211" s="867" t="str">
        <f t="shared" ca="1" si="22"/>
        <v>E</v>
      </c>
      <c r="D211" s="1480" t="s">
        <v>1372</v>
      </c>
      <c r="E211" s="867" t="s">
        <v>1373</v>
      </c>
      <c r="F211" s="1480"/>
      <c r="G211" s="1480"/>
      <c r="H211" s="1480"/>
      <c r="I211" s="1427" t="str">
        <f t="shared" si="25"/>
        <v/>
      </c>
      <c r="J211" s="1480"/>
      <c r="K211" s="1480" t="str">
        <f t="shared" si="26"/>
        <v/>
      </c>
      <c r="L211" s="904" t="s">
        <v>1188</v>
      </c>
      <c r="M211" s="1480">
        <v>118</v>
      </c>
      <c r="N211" s="1480"/>
      <c r="O211" s="1477"/>
      <c r="P211" s="1480" t="str">
        <f>IFERROR(VLOOKUP(Q$211,'Existing Customers'!$A:$F,1,FALSE),"")</f>
        <v/>
      </c>
      <c r="Q211" s="1480"/>
      <c r="R211" s="1477"/>
      <c r="S211" s="1477"/>
      <c r="T211" s="1477"/>
      <c r="U211" s="1477"/>
      <c r="V211" s="1477"/>
      <c r="W211" s="1477"/>
      <c r="X211" s="1477"/>
      <c r="Y211" s="1477"/>
      <c r="Z211" s="1477"/>
    </row>
    <row r="212" spans="1:26" hidden="1" x14ac:dyDescent="0.25">
      <c r="A212" s="925" t="s">
        <v>769</v>
      </c>
      <c r="B212" s="867" t="str">
        <f t="shared" ref="B212:B221" ca="1" si="28">_xlfn.IFNA(_xlfn.CONCAT(SUBSTITUTE(ADDRESS(1,MATCH(A212,INDIRECT("'"&amp;E212&amp;"'"&amp;"!A22:Z22"),0),4),1,""),27),"")</f>
        <v>F27</v>
      </c>
      <c r="C212" s="867" t="str">
        <f t="shared" ca="1" si="22"/>
        <v>F</v>
      </c>
      <c r="D212" s="1480" t="s">
        <v>1372</v>
      </c>
      <c r="E212" s="867" t="s">
        <v>1373</v>
      </c>
      <c r="F212" s="1480"/>
      <c r="G212" s="1480"/>
      <c r="H212" s="1480"/>
      <c r="I212" s="1427" t="str">
        <f t="shared" si="25"/>
        <v>Name</v>
      </c>
      <c r="J212" s="1480" t="str">
        <f>IF(P211="",Q$1&amp;M212,"")</f>
        <v>F120</v>
      </c>
      <c r="K212" s="1480" t="str">
        <f t="shared" si="26"/>
        <v>Required Info to Submit</v>
      </c>
      <c r="L212" s="904" t="s">
        <v>769</v>
      </c>
      <c r="M212" s="1480">
        <v>120</v>
      </c>
      <c r="N212" s="1480"/>
      <c r="O212" s="1477"/>
      <c r="P212" s="1477"/>
      <c r="Q212" s="1477"/>
      <c r="R212" s="1477"/>
      <c r="S212" s="1477"/>
      <c r="T212" s="1477"/>
      <c r="U212" s="1477"/>
      <c r="V212" s="1477"/>
      <c r="W212" s="1477"/>
      <c r="X212" s="1477"/>
      <c r="Y212" s="1477"/>
      <c r="Z212" s="1477"/>
    </row>
    <row r="213" spans="1:26" hidden="1" x14ac:dyDescent="0.25">
      <c r="A213" s="925" t="s">
        <v>768</v>
      </c>
      <c r="B213" s="867" t="str">
        <f t="shared" ca="1" si="28"/>
        <v>K27</v>
      </c>
      <c r="C213" s="867" t="str">
        <f t="shared" ca="1" si="22"/>
        <v>K</v>
      </c>
      <c r="D213" s="1480" t="s">
        <v>1372</v>
      </c>
      <c r="E213" s="867" t="s">
        <v>1373</v>
      </c>
      <c r="F213" s="1480"/>
      <c r="G213" s="1480"/>
      <c r="H213" s="1480"/>
      <c r="I213" s="1427" t="str">
        <f t="shared" si="25"/>
        <v/>
      </c>
      <c r="J213" s="1480"/>
      <c r="K213" s="1480" t="str">
        <f t="shared" si="26"/>
        <v/>
      </c>
      <c r="L213" s="904" t="s">
        <v>768</v>
      </c>
      <c r="M213" s="1480">
        <v>130</v>
      </c>
      <c r="N213" s="1480"/>
      <c r="O213" s="1477"/>
      <c r="P213" s="1477"/>
      <c r="Q213" s="1477"/>
      <c r="R213" s="1477"/>
      <c r="S213" s="1477"/>
      <c r="T213" s="1477"/>
      <c r="U213" s="1477"/>
      <c r="V213" s="1477"/>
      <c r="W213" s="1477"/>
      <c r="X213" s="1477"/>
      <c r="Y213" s="1477"/>
      <c r="Z213" s="1477"/>
    </row>
    <row r="214" spans="1:26" hidden="1" x14ac:dyDescent="0.25">
      <c r="A214" s="925" t="s">
        <v>1189</v>
      </c>
      <c r="B214" s="867" t="str">
        <f t="shared" ca="1" si="28"/>
        <v>L27</v>
      </c>
      <c r="C214" s="867" t="str">
        <f t="shared" ca="1" si="22"/>
        <v>L</v>
      </c>
      <c r="D214" s="1480" t="s">
        <v>1372</v>
      </c>
      <c r="E214" s="867" t="s">
        <v>1373</v>
      </c>
      <c r="F214" s="1480"/>
      <c r="G214" s="1480"/>
      <c r="H214" s="1480"/>
      <c r="I214" s="1427" t="str">
        <f t="shared" si="25"/>
        <v/>
      </c>
      <c r="J214" s="1480"/>
      <c r="K214" s="1480" t="str">
        <f t="shared" si="26"/>
        <v/>
      </c>
      <c r="L214" s="904" t="s">
        <v>1189</v>
      </c>
      <c r="M214" s="1480">
        <v>131</v>
      </c>
      <c r="N214" s="1480"/>
      <c r="O214" s="1477"/>
      <c r="P214" s="1477"/>
      <c r="Q214" s="1477"/>
      <c r="R214" s="1477"/>
      <c r="S214" s="1477"/>
      <c r="T214" s="1477"/>
      <c r="U214" s="1477"/>
      <c r="V214" s="1477"/>
      <c r="W214" s="1477"/>
      <c r="X214" s="1477"/>
      <c r="Y214" s="1477"/>
      <c r="Z214" s="1477"/>
    </row>
    <row r="215" spans="1:26" hidden="1" x14ac:dyDescent="0.25">
      <c r="A215" s="925" t="s">
        <v>1190</v>
      </c>
      <c r="B215" s="867" t="str">
        <f t="shared" ca="1" si="28"/>
        <v>M27</v>
      </c>
      <c r="C215" s="867" t="str">
        <f t="shared" ca="1" si="22"/>
        <v>M</v>
      </c>
      <c r="D215" s="1480" t="s">
        <v>1372</v>
      </c>
      <c r="E215" s="867" t="s">
        <v>1373</v>
      </c>
      <c r="F215" s="1480"/>
      <c r="G215" s="1480"/>
      <c r="H215" s="1480"/>
      <c r="I215" s="1427" t="str">
        <f t="shared" si="25"/>
        <v>Secondary or Internal Customer</v>
      </c>
      <c r="J215" s="1480" t="str">
        <f>IF(M215&lt;&gt;"",Q$1&amp;M215,"")</f>
        <v>F132</v>
      </c>
      <c r="K215" s="1480" t="str">
        <f t="shared" si="26"/>
        <v>Required Info to Submit</v>
      </c>
      <c r="L215" s="904" t="s">
        <v>1190</v>
      </c>
      <c r="M215" s="1480">
        <v>132</v>
      </c>
      <c r="N215" s="1480"/>
      <c r="O215" s="1477"/>
      <c r="P215" s="1477"/>
      <c r="Q215" s="1477"/>
      <c r="R215" s="1477"/>
      <c r="S215" s="1477"/>
      <c r="T215" s="1477"/>
      <c r="U215" s="1477"/>
      <c r="V215" s="1477"/>
      <c r="W215" s="1477"/>
      <c r="X215" s="1477"/>
      <c r="Y215" s="1477"/>
      <c r="Z215" s="1477"/>
    </row>
    <row r="216" spans="1:26" hidden="1" x14ac:dyDescent="0.25">
      <c r="A216" s="925" t="s">
        <v>1191</v>
      </c>
      <c r="B216" s="867" t="str">
        <f t="shared" ca="1" si="28"/>
        <v>N27</v>
      </c>
      <c r="C216" s="867" t="str">
        <f t="shared" ca="1" si="22"/>
        <v>N</v>
      </c>
      <c r="D216" s="1480" t="s">
        <v>1372</v>
      </c>
      <c r="E216" s="867" t="s">
        <v>1373</v>
      </c>
      <c r="F216" s="1480"/>
      <c r="G216" s="1480"/>
      <c r="H216" s="1480"/>
      <c r="I216" s="1427" t="str">
        <f t="shared" si="25"/>
        <v>Fuel Surcharge Applied</v>
      </c>
      <c r="J216" s="1480" t="str">
        <f>IF(M216&lt;&gt;"",Q$1&amp;M216,"")</f>
        <v>F133</v>
      </c>
      <c r="K216" s="1480" t="str">
        <f t="shared" si="26"/>
        <v>Required Info to Submit</v>
      </c>
      <c r="L216" s="904" t="s">
        <v>1382</v>
      </c>
      <c r="M216" s="1480">
        <v>133</v>
      </c>
      <c r="N216" s="1480"/>
      <c r="O216" s="1477"/>
      <c r="P216" s="1477"/>
      <c r="Q216" s="1477"/>
      <c r="R216" s="1477"/>
      <c r="S216" s="1477"/>
      <c r="T216" s="1477"/>
      <c r="U216" s="1477"/>
      <c r="V216" s="1477"/>
      <c r="W216" s="1477"/>
      <c r="X216" s="1477"/>
      <c r="Y216" s="1477"/>
      <c r="Z216" s="1477"/>
    </row>
    <row r="217" spans="1:26" hidden="1" x14ac:dyDescent="0.25">
      <c r="A217" s="925" t="s">
        <v>1307</v>
      </c>
      <c r="B217" s="867" t="str">
        <f t="shared" ca="1" si="28"/>
        <v>O27</v>
      </c>
      <c r="C217" s="867" t="str">
        <f t="shared" ca="1" si="22"/>
        <v>O</v>
      </c>
      <c r="D217" s="1480" t="s">
        <v>1372</v>
      </c>
      <c r="E217" s="867" t="s">
        <v>1373</v>
      </c>
      <c r="F217" s="1480"/>
      <c r="G217" s="1480"/>
      <c r="H217" s="1480"/>
      <c r="I217" s="1427" t="str">
        <f t="shared" si="25"/>
        <v>Minimum Delivery Charge Applied Flag</v>
      </c>
      <c r="J217" s="1480" t="str">
        <f>IF(M217&lt;&gt;"",Q$1&amp;M217,"")</f>
        <v>F134</v>
      </c>
      <c r="K217" s="1480" t="str">
        <f t="shared" si="26"/>
        <v>Required Info to Submit</v>
      </c>
      <c r="L217" s="904" t="s">
        <v>1307</v>
      </c>
      <c r="M217" s="1480">
        <v>134</v>
      </c>
      <c r="N217" s="1480"/>
      <c r="O217" s="1477"/>
      <c r="P217" s="1477"/>
      <c r="Q217" s="1477"/>
      <c r="R217" s="1477"/>
      <c r="S217" s="1477"/>
      <c r="T217" s="1477"/>
      <c r="U217" s="1477"/>
      <c r="V217" s="1477"/>
      <c r="W217" s="1477"/>
      <c r="X217" s="1477"/>
      <c r="Y217" s="1477"/>
      <c r="Z217" s="1477"/>
    </row>
    <row r="218" spans="1:26" hidden="1" x14ac:dyDescent="0.25">
      <c r="A218" s="925" t="s">
        <v>770</v>
      </c>
      <c r="B218" s="867" t="str">
        <f t="shared" ca="1" si="28"/>
        <v>G27</v>
      </c>
      <c r="C218" s="867" t="str">
        <f t="shared" ca="1" si="22"/>
        <v>G</v>
      </c>
      <c r="D218" s="1480" t="s">
        <v>1372</v>
      </c>
      <c r="E218" s="867" t="s">
        <v>1373</v>
      </c>
      <c r="F218" s="1480"/>
      <c r="G218" s="1480"/>
      <c r="H218" s="1480"/>
      <c r="I218" s="1427" t="str">
        <f t="shared" si="25"/>
        <v>Address</v>
      </c>
      <c r="J218" s="1480" t="str">
        <f>IF(P211="",Q$1&amp;M218,"")</f>
        <v>F135</v>
      </c>
      <c r="K218" s="1480" t="str">
        <f t="shared" si="26"/>
        <v>Required Info to Submit</v>
      </c>
      <c r="L218" s="904" t="s">
        <v>770</v>
      </c>
      <c r="M218" s="1480">
        <v>135</v>
      </c>
      <c r="N218" s="1480"/>
      <c r="O218" s="1477"/>
      <c r="P218" s="1477"/>
      <c r="Q218" s="1477"/>
      <c r="R218" s="1477"/>
      <c r="S218" s="1477"/>
      <c r="T218" s="1477"/>
      <c r="U218" s="1477"/>
      <c r="V218" s="1477"/>
      <c r="W218" s="1477"/>
      <c r="X218" s="1477"/>
      <c r="Y218" s="1477"/>
      <c r="Z218" s="1477"/>
    </row>
    <row r="219" spans="1:26" hidden="1" x14ac:dyDescent="0.25">
      <c r="A219" s="925" t="s">
        <v>771</v>
      </c>
      <c r="B219" s="867" t="str">
        <f t="shared" ca="1" si="28"/>
        <v>H27</v>
      </c>
      <c r="C219" s="867" t="str">
        <f t="shared" ca="1" si="22"/>
        <v>H</v>
      </c>
      <c r="D219" s="1480" t="s">
        <v>1372</v>
      </c>
      <c r="E219" s="867" t="s">
        <v>1373</v>
      </c>
      <c r="F219" s="1480"/>
      <c r="G219" s="1480"/>
      <c r="H219" s="1480"/>
      <c r="I219" s="1427" t="str">
        <f t="shared" si="25"/>
        <v>City</v>
      </c>
      <c r="J219" s="1480" t="str">
        <f>IF(P211="",Q$1&amp;M219,"")</f>
        <v>F136</v>
      </c>
      <c r="K219" s="1480" t="str">
        <f t="shared" si="26"/>
        <v>Required Info to Submit</v>
      </c>
      <c r="L219" s="904" t="s">
        <v>771</v>
      </c>
      <c r="M219" s="1480">
        <v>136</v>
      </c>
      <c r="N219" s="1480"/>
      <c r="O219" s="1477"/>
      <c r="P219" s="1477"/>
      <c r="Q219" s="1477"/>
      <c r="R219" s="1477"/>
      <c r="S219" s="1477"/>
      <c r="T219" s="1477"/>
      <c r="U219" s="1477"/>
      <c r="V219" s="1477"/>
      <c r="W219" s="1477"/>
      <c r="X219" s="1477"/>
      <c r="Y219" s="1477"/>
      <c r="Z219" s="1477"/>
    </row>
    <row r="220" spans="1:26" hidden="1" x14ac:dyDescent="0.25">
      <c r="A220" s="925" t="s">
        <v>772</v>
      </c>
      <c r="B220" s="867" t="str">
        <f t="shared" ca="1" si="28"/>
        <v>I27</v>
      </c>
      <c r="C220" s="867" t="str">
        <f t="shared" ca="1" si="22"/>
        <v>I</v>
      </c>
      <c r="D220" s="1480" t="s">
        <v>1372</v>
      </c>
      <c r="E220" s="867" t="s">
        <v>1373</v>
      </c>
      <c r="F220" s="1480"/>
      <c r="G220" s="1480"/>
      <c r="H220" s="1480"/>
      <c r="I220" s="1427" t="str">
        <f t="shared" si="25"/>
        <v>State</v>
      </c>
      <c r="J220" s="1480" t="str">
        <f>IF(P211="",Q$1&amp;M220,"")</f>
        <v>F137</v>
      </c>
      <c r="K220" s="1480" t="str">
        <f t="shared" si="26"/>
        <v>Required Info to Submit</v>
      </c>
      <c r="L220" s="904" t="s">
        <v>772</v>
      </c>
      <c r="M220" s="1480">
        <v>137</v>
      </c>
      <c r="N220" s="1480"/>
      <c r="O220" s="1477"/>
      <c r="P220" s="1477"/>
      <c r="Q220" s="1477"/>
      <c r="R220" s="1477"/>
      <c r="S220" s="1477"/>
      <c r="T220" s="1477"/>
      <c r="U220" s="1477"/>
      <c r="V220" s="1477"/>
      <c r="W220" s="1477"/>
      <c r="X220" s="1477"/>
      <c r="Y220" s="1477"/>
      <c r="Z220" s="1477"/>
    </row>
    <row r="221" spans="1:26" hidden="1" x14ac:dyDescent="0.25">
      <c r="A221" s="925" t="s">
        <v>204</v>
      </c>
      <c r="B221" s="867" t="str">
        <f t="shared" ca="1" si="28"/>
        <v>J27</v>
      </c>
      <c r="C221" s="867" t="str">
        <f t="shared" ca="1" si="22"/>
        <v>J</v>
      </c>
      <c r="D221" s="1480" t="s">
        <v>1372</v>
      </c>
      <c r="E221" s="867" t="s">
        <v>1373</v>
      </c>
      <c r="F221" s="1480"/>
      <c r="G221" s="1480"/>
      <c r="H221" s="1480"/>
      <c r="I221" s="1427" t="str">
        <f t="shared" si="25"/>
        <v>Zip Code</v>
      </c>
      <c r="J221" s="1480" t="str">
        <f>IF(P211="",Q$1&amp;M221,"")</f>
        <v>F138</v>
      </c>
      <c r="K221" s="1480" t="str">
        <f t="shared" si="26"/>
        <v>Required Info to Submit</v>
      </c>
      <c r="L221" s="904" t="s">
        <v>204</v>
      </c>
      <c r="M221" s="1480">
        <v>138</v>
      </c>
      <c r="N221" s="1480"/>
      <c r="O221" s="1477"/>
      <c r="P221" s="1477"/>
      <c r="Q221" s="1477"/>
      <c r="R221" s="1477"/>
      <c r="S221" s="1477"/>
      <c r="T221" s="1477"/>
      <c r="U221" s="1477"/>
      <c r="V221" s="1477"/>
      <c r="W221" s="1477"/>
      <c r="X221" s="1477"/>
      <c r="Y221" s="1477"/>
      <c r="Z221" s="1477"/>
    </row>
    <row r="222" spans="1:26" hidden="1" x14ac:dyDescent="0.25">
      <c r="A222" s="926" t="s">
        <v>1188</v>
      </c>
      <c r="B222" s="867" t="str">
        <f ca="1">_xlfn.IFNA(_xlfn.CONCAT(SUBSTITUTE(ADDRESS(1,MATCH(A222,INDIRECT("'"&amp;E222&amp;"'"&amp;"!A22:Z22"),0),4),1,""),28),"")</f>
        <v>E28</v>
      </c>
      <c r="C222" s="867" t="str">
        <f t="shared" ca="1" si="22"/>
        <v>E</v>
      </c>
      <c r="D222" s="1480" t="s">
        <v>1372</v>
      </c>
      <c r="E222" s="867" t="s">
        <v>1373</v>
      </c>
      <c r="F222" s="1480"/>
      <c r="G222" s="1480"/>
      <c r="H222" s="1480"/>
      <c r="I222" s="1427" t="str">
        <f t="shared" si="25"/>
        <v/>
      </c>
      <c r="J222" s="1480"/>
      <c r="K222" s="1480" t="str">
        <f t="shared" si="26"/>
        <v/>
      </c>
      <c r="L222" s="904" t="s">
        <v>1188</v>
      </c>
      <c r="M222" s="1480">
        <v>139</v>
      </c>
      <c r="N222" s="1480"/>
      <c r="O222" s="1477"/>
      <c r="P222" s="1480" t="str">
        <f>IFERROR(VLOOKUP(Q$222,'Existing Customers'!$A:$F,1,FALSE),"")</f>
        <v/>
      </c>
      <c r="Q222" s="1480"/>
      <c r="R222" s="1477"/>
      <c r="S222" s="1477"/>
      <c r="T222" s="1477"/>
      <c r="U222" s="1477"/>
      <c r="V222" s="1477"/>
      <c r="W222" s="1477"/>
      <c r="X222" s="1477"/>
      <c r="Y222" s="1477"/>
      <c r="Z222" s="1477"/>
    </row>
    <row r="223" spans="1:26" hidden="1" x14ac:dyDescent="0.25">
      <c r="A223" s="927" t="s">
        <v>769</v>
      </c>
      <c r="B223" s="867" t="str">
        <f t="shared" ref="B223:B232" ca="1" si="29">_xlfn.IFNA(_xlfn.CONCAT(SUBSTITUTE(ADDRESS(1,MATCH(A223,INDIRECT("'"&amp;E223&amp;"'"&amp;"!A22:Z22"),0),4),1,""),28),"")</f>
        <v>F28</v>
      </c>
      <c r="C223" s="867" t="str">
        <f t="shared" ca="1" si="22"/>
        <v>F</v>
      </c>
      <c r="D223" s="1480" t="s">
        <v>1372</v>
      </c>
      <c r="E223" s="867" t="s">
        <v>1373</v>
      </c>
      <c r="F223" s="1480"/>
      <c r="G223" s="1480"/>
      <c r="H223" s="1480"/>
      <c r="I223" s="1427" t="str">
        <f t="shared" si="25"/>
        <v>Name</v>
      </c>
      <c r="J223" s="1480" t="str">
        <f>IF(P222="",Q$1&amp;M223,"")</f>
        <v>F141</v>
      </c>
      <c r="K223" s="1480" t="str">
        <f t="shared" si="26"/>
        <v>Required Info to Submit</v>
      </c>
      <c r="L223" s="904" t="s">
        <v>769</v>
      </c>
      <c r="M223" s="1480">
        <v>141</v>
      </c>
      <c r="N223" s="1480"/>
      <c r="O223" s="1477"/>
      <c r="P223" s="1477"/>
      <c r="Q223" s="1477"/>
      <c r="R223" s="1477"/>
      <c r="S223" s="1477"/>
      <c r="T223" s="1477"/>
      <c r="U223" s="1477"/>
      <c r="V223" s="1477"/>
      <c r="W223" s="1477"/>
      <c r="X223" s="1477"/>
      <c r="Y223" s="1477"/>
      <c r="Z223" s="1477"/>
    </row>
    <row r="224" spans="1:26" hidden="1" x14ac:dyDescent="0.25">
      <c r="A224" s="927" t="s">
        <v>768</v>
      </c>
      <c r="B224" s="867" t="str">
        <f t="shared" ca="1" si="29"/>
        <v>K28</v>
      </c>
      <c r="C224" s="867" t="str">
        <f t="shared" ca="1" si="22"/>
        <v>K</v>
      </c>
      <c r="D224" s="1480" t="s">
        <v>1372</v>
      </c>
      <c r="E224" s="867" t="s">
        <v>1373</v>
      </c>
      <c r="F224" s="1480"/>
      <c r="G224" s="1480"/>
      <c r="H224" s="1480"/>
      <c r="I224" s="1427" t="str">
        <f t="shared" si="25"/>
        <v/>
      </c>
      <c r="J224" s="1480"/>
      <c r="K224" s="1480" t="str">
        <f t="shared" si="26"/>
        <v/>
      </c>
      <c r="L224" s="904" t="s">
        <v>768</v>
      </c>
      <c r="M224" s="1480">
        <v>151</v>
      </c>
      <c r="N224" s="1480"/>
      <c r="O224" s="1477"/>
      <c r="P224" s="1477"/>
      <c r="Q224" s="1477"/>
      <c r="R224" s="1477"/>
      <c r="S224" s="1477"/>
      <c r="T224" s="1477"/>
      <c r="U224" s="1477"/>
      <c r="V224" s="1477"/>
      <c r="W224" s="1477"/>
      <c r="X224" s="1477"/>
      <c r="Y224" s="1477"/>
      <c r="Z224" s="1477"/>
    </row>
    <row r="225" spans="1:26" hidden="1" x14ac:dyDescent="0.25">
      <c r="A225" s="927" t="s">
        <v>1189</v>
      </c>
      <c r="B225" s="867" t="str">
        <f t="shared" ca="1" si="29"/>
        <v>L28</v>
      </c>
      <c r="C225" s="867" t="str">
        <f t="shared" ca="1" si="22"/>
        <v>L</v>
      </c>
      <c r="D225" s="1480" t="s">
        <v>1372</v>
      </c>
      <c r="E225" s="867" t="s">
        <v>1373</v>
      </c>
      <c r="F225" s="1480"/>
      <c r="G225" s="1480"/>
      <c r="H225" s="1480"/>
      <c r="I225" s="1427" t="str">
        <f t="shared" si="25"/>
        <v/>
      </c>
      <c r="J225" s="1480"/>
      <c r="K225" s="1480" t="str">
        <f t="shared" si="26"/>
        <v/>
      </c>
      <c r="L225" s="904" t="s">
        <v>1189</v>
      </c>
      <c r="M225" s="1480">
        <v>152</v>
      </c>
      <c r="N225" s="1480"/>
      <c r="O225" s="1477"/>
      <c r="P225" s="1477"/>
      <c r="Q225" s="1477"/>
      <c r="R225" s="1477"/>
      <c r="S225" s="1477"/>
      <c r="T225" s="1477"/>
      <c r="U225" s="1477"/>
      <c r="V225" s="1477"/>
      <c r="W225" s="1477"/>
      <c r="X225" s="1477"/>
      <c r="Y225" s="1477"/>
      <c r="Z225" s="1477"/>
    </row>
    <row r="226" spans="1:26" hidden="1" x14ac:dyDescent="0.25">
      <c r="A226" s="927" t="s">
        <v>1190</v>
      </c>
      <c r="B226" s="867" t="str">
        <f t="shared" ca="1" si="29"/>
        <v>M28</v>
      </c>
      <c r="C226" s="867" t="str">
        <f t="shared" ca="1" si="22"/>
        <v>M</v>
      </c>
      <c r="D226" s="1480" t="s">
        <v>1372</v>
      </c>
      <c r="E226" s="867" t="s">
        <v>1373</v>
      </c>
      <c r="F226" s="1480"/>
      <c r="G226" s="1480"/>
      <c r="H226" s="1480"/>
      <c r="I226" s="1427" t="str">
        <f t="shared" si="25"/>
        <v>Secondary or Internal Customer</v>
      </c>
      <c r="J226" s="1480" t="str">
        <f>IF(M226&lt;&gt;"",Q$1&amp;M226,"")</f>
        <v>F153</v>
      </c>
      <c r="K226" s="1480" t="str">
        <f t="shared" si="26"/>
        <v>Required Info to Submit</v>
      </c>
      <c r="L226" s="904" t="s">
        <v>1190</v>
      </c>
      <c r="M226" s="1480">
        <v>153</v>
      </c>
      <c r="N226" s="1480"/>
      <c r="O226" s="1477"/>
      <c r="P226" s="1477"/>
      <c r="Q226" s="1477"/>
      <c r="R226" s="1477"/>
      <c r="S226" s="1477"/>
      <c r="T226" s="1477"/>
      <c r="U226" s="1477"/>
      <c r="V226" s="1477"/>
      <c r="W226" s="1477"/>
      <c r="X226" s="1477"/>
      <c r="Y226" s="1477"/>
      <c r="Z226" s="1477"/>
    </row>
    <row r="227" spans="1:26" hidden="1" x14ac:dyDescent="0.25">
      <c r="A227" s="927" t="s">
        <v>1191</v>
      </c>
      <c r="B227" s="867" t="str">
        <f t="shared" ca="1" si="29"/>
        <v>N28</v>
      </c>
      <c r="C227" s="867" t="str">
        <f t="shared" ca="1" si="22"/>
        <v>N</v>
      </c>
      <c r="D227" s="1480" t="s">
        <v>1372</v>
      </c>
      <c r="E227" s="867" t="s">
        <v>1373</v>
      </c>
      <c r="F227" s="1480"/>
      <c r="G227" s="1480"/>
      <c r="H227" s="1480"/>
      <c r="I227" s="1427" t="str">
        <f t="shared" si="25"/>
        <v>Fuel Surcharge Applied</v>
      </c>
      <c r="J227" s="1480" t="str">
        <f>IF(M227&lt;&gt;"",Q$1&amp;M227,"")</f>
        <v>F154</v>
      </c>
      <c r="K227" s="1480" t="str">
        <f t="shared" si="26"/>
        <v>Required Info to Submit</v>
      </c>
      <c r="L227" s="904" t="s">
        <v>1382</v>
      </c>
      <c r="M227" s="1480">
        <v>154</v>
      </c>
      <c r="N227" s="1480"/>
      <c r="O227" s="1477"/>
      <c r="P227" s="1477"/>
      <c r="Q227" s="1477"/>
      <c r="R227" s="1477"/>
      <c r="S227" s="1477"/>
      <c r="T227" s="1477"/>
      <c r="U227" s="1477"/>
      <c r="V227" s="1477"/>
      <c r="W227" s="1477"/>
      <c r="X227" s="1477"/>
      <c r="Y227" s="1477"/>
      <c r="Z227" s="1477"/>
    </row>
    <row r="228" spans="1:26" hidden="1" x14ac:dyDescent="0.25">
      <c r="A228" s="927" t="s">
        <v>1307</v>
      </c>
      <c r="B228" s="867" t="str">
        <f t="shared" ca="1" si="29"/>
        <v>O28</v>
      </c>
      <c r="C228" s="867" t="str">
        <f t="shared" ca="1" si="22"/>
        <v>O</v>
      </c>
      <c r="D228" s="1480" t="s">
        <v>1372</v>
      </c>
      <c r="E228" s="867" t="s">
        <v>1373</v>
      </c>
      <c r="F228" s="1480"/>
      <c r="G228" s="1480"/>
      <c r="H228" s="1480"/>
      <c r="I228" s="1427" t="str">
        <f t="shared" si="25"/>
        <v>Minimum Delivery Charge Applied Flag</v>
      </c>
      <c r="J228" s="1480" t="str">
        <f>IF(M228&lt;&gt;"",Q$1&amp;M228,"")</f>
        <v>F155</v>
      </c>
      <c r="K228" s="1480" t="str">
        <f t="shared" si="26"/>
        <v>Required Info to Submit</v>
      </c>
      <c r="L228" s="904" t="s">
        <v>1307</v>
      </c>
      <c r="M228" s="1480">
        <v>155</v>
      </c>
      <c r="N228" s="1480"/>
      <c r="O228" s="1477"/>
      <c r="P228" s="1477"/>
      <c r="Q228" s="1477"/>
      <c r="R228" s="1477"/>
      <c r="S228" s="1477"/>
      <c r="T228" s="1477"/>
      <c r="U228" s="1477"/>
      <c r="V228" s="1477"/>
      <c r="W228" s="1477"/>
      <c r="X228" s="1477"/>
      <c r="Y228" s="1477"/>
      <c r="Z228" s="1477"/>
    </row>
    <row r="229" spans="1:26" hidden="1" x14ac:dyDescent="0.25">
      <c r="A229" s="927" t="s">
        <v>770</v>
      </c>
      <c r="B229" s="867" t="str">
        <f t="shared" ca="1" si="29"/>
        <v>G28</v>
      </c>
      <c r="C229" s="867" t="str">
        <f t="shared" ca="1" si="22"/>
        <v>G</v>
      </c>
      <c r="D229" s="1480" t="s">
        <v>1372</v>
      </c>
      <c r="E229" s="867" t="s">
        <v>1373</v>
      </c>
      <c r="F229" s="1480"/>
      <c r="G229" s="1480"/>
      <c r="H229" s="1480"/>
      <c r="I229" s="1427" t="str">
        <f t="shared" si="25"/>
        <v>Address</v>
      </c>
      <c r="J229" s="1480" t="str">
        <f>IF(P222="",Q$1&amp;M229,"")</f>
        <v>F156</v>
      </c>
      <c r="K229" s="1480" t="str">
        <f t="shared" si="26"/>
        <v>Required Info to Submit</v>
      </c>
      <c r="L229" s="904" t="s">
        <v>770</v>
      </c>
      <c r="M229" s="1480">
        <v>156</v>
      </c>
      <c r="N229" s="1480"/>
      <c r="O229" s="1477"/>
      <c r="P229" s="1477"/>
      <c r="Q229" s="1477"/>
      <c r="R229" s="1477"/>
      <c r="S229" s="1477"/>
      <c r="T229" s="1477"/>
      <c r="U229" s="1477"/>
      <c r="V229" s="1477"/>
      <c r="W229" s="1477"/>
      <c r="X229" s="1477"/>
      <c r="Y229" s="1477"/>
      <c r="Z229" s="1477"/>
    </row>
    <row r="230" spans="1:26" hidden="1" x14ac:dyDescent="0.25">
      <c r="A230" s="927" t="s">
        <v>771</v>
      </c>
      <c r="B230" s="867" t="str">
        <f t="shared" ca="1" si="29"/>
        <v>H28</v>
      </c>
      <c r="C230" s="867" t="str">
        <f t="shared" ca="1" si="22"/>
        <v>H</v>
      </c>
      <c r="D230" s="1480" t="s">
        <v>1372</v>
      </c>
      <c r="E230" s="867" t="s">
        <v>1373</v>
      </c>
      <c r="F230" s="1480"/>
      <c r="G230" s="1480"/>
      <c r="H230" s="1480"/>
      <c r="I230" s="1427" t="str">
        <f t="shared" si="25"/>
        <v>City</v>
      </c>
      <c r="J230" s="1480" t="str">
        <f>IF(P222="",Q$1&amp;M230,"")</f>
        <v>F157</v>
      </c>
      <c r="K230" s="1480" t="str">
        <f t="shared" si="26"/>
        <v>Required Info to Submit</v>
      </c>
      <c r="L230" s="904" t="s">
        <v>771</v>
      </c>
      <c r="M230" s="1480">
        <v>157</v>
      </c>
      <c r="N230" s="1480"/>
      <c r="O230" s="1477"/>
      <c r="P230" s="1477"/>
      <c r="Q230" s="1477"/>
      <c r="R230" s="1477"/>
      <c r="S230" s="1477"/>
      <c r="T230" s="1477"/>
      <c r="U230" s="1477"/>
      <c r="V230" s="1477"/>
      <c r="W230" s="1477"/>
      <c r="X230" s="1477"/>
      <c r="Y230" s="1477"/>
      <c r="Z230" s="1477"/>
    </row>
    <row r="231" spans="1:26" hidden="1" x14ac:dyDescent="0.25">
      <c r="A231" s="927" t="s">
        <v>772</v>
      </c>
      <c r="B231" s="867" t="str">
        <f t="shared" ca="1" si="29"/>
        <v>I28</v>
      </c>
      <c r="C231" s="867" t="str">
        <f t="shared" ca="1" si="22"/>
        <v>I</v>
      </c>
      <c r="D231" s="1480" t="s">
        <v>1372</v>
      </c>
      <c r="E231" s="867" t="s">
        <v>1373</v>
      </c>
      <c r="F231" s="1480"/>
      <c r="G231" s="1480"/>
      <c r="H231" s="1480"/>
      <c r="I231" s="1427" t="str">
        <f t="shared" si="25"/>
        <v>State</v>
      </c>
      <c r="J231" s="1480" t="str">
        <f>IF(P222="",Q$1&amp;M231,"")</f>
        <v>F158</v>
      </c>
      <c r="K231" s="1480" t="str">
        <f t="shared" si="26"/>
        <v>Required Info to Submit</v>
      </c>
      <c r="L231" s="904" t="s">
        <v>772</v>
      </c>
      <c r="M231" s="1480">
        <v>158</v>
      </c>
      <c r="N231" s="1480"/>
      <c r="O231" s="1477"/>
      <c r="P231" s="1477"/>
      <c r="Q231" s="1477"/>
      <c r="R231" s="1477"/>
      <c r="S231" s="1477"/>
      <c r="T231" s="1477"/>
      <c r="U231" s="1477"/>
      <c r="V231" s="1477"/>
      <c r="W231" s="1477"/>
      <c r="X231" s="1477"/>
      <c r="Y231" s="1477"/>
      <c r="Z231" s="1477"/>
    </row>
    <row r="232" spans="1:26" hidden="1" x14ac:dyDescent="0.25">
      <c r="A232" s="927" t="s">
        <v>204</v>
      </c>
      <c r="B232" s="867" t="str">
        <f t="shared" ca="1" si="29"/>
        <v>J28</v>
      </c>
      <c r="C232" s="867" t="str">
        <f t="shared" ref="C232:C276" ca="1" si="30">_xlfn.IFNA(SUBSTITUTE(ADDRESS(1,MATCH(A232,INDIRECT("'"&amp;E232&amp;"'"&amp;"!A22:Z22"),0),4),1,""),"")</f>
        <v>J</v>
      </c>
      <c r="D232" s="1480" t="s">
        <v>1372</v>
      </c>
      <c r="E232" s="867" t="s">
        <v>1373</v>
      </c>
      <c r="F232" s="1480"/>
      <c r="G232" s="1480"/>
      <c r="H232" s="1480"/>
      <c r="I232" s="1427" t="str">
        <f t="shared" si="25"/>
        <v>Zip Code</v>
      </c>
      <c r="J232" s="1480" t="str">
        <f>IF(P222="",Q$1&amp;M232,"")</f>
        <v>F159</v>
      </c>
      <c r="K232" s="1480" t="str">
        <f t="shared" si="26"/>
        <v>Required Info to Submit</v>
      </c>
      <c r="L232" s="904" t="s">
        <v>204</v>
      </c>
      <c r="M232" s="1480">
        <v>159</v>
      </c>
      <c r="N232" s="1480"/>
      <c r="O232" s="1477"/>
      <c r="P232" s="1477"/>
      <c r="Q232" s="1477"/>
      <c r="R232" s="1477"/>
      <c r="S232" s="1477"/>
      <c r="T232" s="1477"/>
      <c r="U232" s="1477"/>
      <c r="V232" s="1477"/>
      <c r="W232" s="1477"/>
      <c r="X232" s="1477"/>
      <c r="Y232" s="1477"/>
      <c r="Z232" s="1477"/>
    </row>
    <row r="233" spans="1:26" hidden="1" x14ac:dyDescent="0.25">
      <c r="A233" s="924" t="s">
        <v>1188</v>
      </c>
      <c r="B233" s="867" t="str">
        <f ca="1">_xlfn.IFNA(_xlfn.CONCAT(SUBSTITUTE(ADDRESS(1,MATCH(A233,INDIRECT("'"&amp;E233&amp;"'"&amp;"!A22:Z22"),0),4),1,""),29),"")</f>
        <v>E29</v>
      </c>
      <c r="C233" s="867" t="str">
        <f t="shared" ca="1" si="30"/>
        <v>E</v>
      </c>
      <c r="D233" s="1480" t="s">
        <v>1372</v>
      </c>
      <c r="E233" s="867" t="s">
        <v>1373</v>
      </c>
      <c r="F233" s="1480"/>
      <c r="G233" s="1480"/>
      <c r="H233" s="1480"/>
      <c r="I233" s="1427" t="str">
        <f t="shared" si="25"/>
        <v/>
      </c>
      <c r="J233" s="1480"/>
      <c r="K233" s="1480" t="str">
        <f t="shared" si="26"/>
        <v/>
      </c>
      <c r="L233" s="904" t="s">
        <v>1188</v>
      </c>
      <c r="M233" s="1480">
        <v>160</v>
      </c>
      <c r="N233" s="1480"/>
      <c r="O233" s="1477"/>
      <c r="P233" s="1480" t="s">
        <v>1102</v>
      </c>
      <c r="Q233" s="1480"/>
      <c r="R233" s="1477"/>
      <c r="S233" s="1477"/>
      <c r="T233" s="1477"/>
      <c r="U233" s="1477"/>
      <c r="V233" s="1477"/>
      <c r="W233" s="1477"/>
      <c r="X233" s="1477"/>
      <c r="Y233" s="1477"/>
      <c r="Z233" s="1477"/>
    </row>
    <row r="234" spans="1:26" hidden="1" x14ac:dyDescent="0.25">
      <c r="A234" s="925" t="s">
        <v>769</v>
      </c>
      <c r="B234" s="867" t="str">
        <f t="shared" ref="B234:B243" ca="1" si="31">_xlfn.IFNA(_xlfn.CONCAT(SUBSTITUTE(ADDRESS(1,MATCH(A234,INDIRECT("'"&amp;E234&amp;"'"&amp;"!A22:Z22"),0),4),1,""),29),"")</f>
        <v>F29</v>
      </c>
      <c r="C234" s="867" t="str">
        <f t="shared" ca="1" si="30"/>
        <v>F</v>
      </c>
      <c r="D234" s="1480" t="s">
        <v>1372</v>
      </c>
      <c r="E234" s="867" t="s">
        <v>1373</v>
      </c>
      <c r="F234" s="1480"/>
      <c r="G234" s="1480"/>
      <c r="H234" s="1480"/>
      <c r="I234" s="1427" t="str">
        <f t="shared" si="25"/>
        <v>Name</v>
      </c>
      <c r="J234" s="1480" t="str">
        <f>IF(P233="",Q$1&amp;M234,"")</f>
        <v>F162</v>
      </c>
      <c r="K234" s="1480" t="str">
        <f t="shared" si="26"/>
        <v>Required Info to Submit</v>
      </c>
      <c r="L234" s="904" t="s">
        <v>769</v>
      </c>
      <c r="M234" s="1480">
        <v>162</v>
      </c>
      <c r="N234" s="1480"/>
      <c r="O234" s="1477"/>
      <c r="P234" s="1477"/>
      <c r="Q234" s="1477"/>
      <c r="R234" s="1477"/>
      <c r="S234" s="1477"/>
      <c r="T234" s="1477"/>
      <c r="U234" s="1477"/>
      <c r="V234" s="1477"/>
      <c r="W234" s="1477"/>
      <c r="X234" s="1477"/>
      <c r="Y234" s="1477"/>
      <c r="Z234" s="1477"/>
    </row>
    <row r="235" spans="1:26" hidden="1" x14ac:dyDescent="0.25">
      <c r="A235" s="925" t="s">
        <v>768</v>
      </c>
      <c r="B235" s="867" t="str">
        <f t="shared" ca="1" si="31"/>
        <v>K29</v>
      </c>
      <c r="C235" s="867" t="str">
        <f t="shared" ca="1" si="30"/>
        <v>K</v>
      </c>
      <c r="D235" s="1480" t="s">
        <v>1372</v>
      </c>
      <c r="E235" s="867" t="s">
        <v>1373</v>
      </c>
      <c r="F235" s="1480"/>
      <c r="G235" s="1480"/>
      <c r="H235" s="1480"/>
      <c r="I235" s="1427" t="str">
        <f t="shared" si="25"/>
        <v/>
      </c>
      <c r="J235" s="1480"/>
      <c r="K235" s="1480" t="str">
        <f t="shared" si="26"/>
        <v/>
      </c>
      <c r="L235" s="904" t="s">
        <v>768</v>
      </c>
      <c r="M235" s="1480">
        <v>172</v>
      </c>
      <c r="N235" s="1480"/>
      <c r="O235" s="1477"/>
      <c r="P235" s="1477"/>
      <c r="Q235" s="1477"/>
      <c r="R235" s="1477"/>
      <c r="S235" s="1477"/>
      <c r="T235" s="1477"/>
      <c r="U235" s="1477"/>
      <c r="V235" s="1477"/>
      <c r="W235" s="1477"/>
      <c r="X235" s="1477"/>
      <c r="Y235" s="1477"/>
      <c r="Z235" s="1477"/>
    </row>
    <row r="236" spans="1:26" hidden="1" x14ac:dyDescent="0.25">
      <c r="A236" s="925" t="s">
        <v>1189</v>
      </c>
      <c r="B236" s="867" t="str">
        <f t="shared" ca="1" si="31"/>
        <v>L29</v>
      </c>
      <c r="C236" s="867" t="str">
        <f t="shared" ca="1" si="30"/>
        <v>L</v>
      </c>
      <c r="D236" s="1480" t="s">
        <v>1372</v>
      </c>
      <c r="E236" s="867" t="s">
        <v>1373</v>
      </c>
      <c r="F236" s="1480"/>
      <c r="G236" s="1480"/>
      <c r="H236" s="1480"/>
      <c r="I236" s="1427" t="str">
        <f t="shared" si="25"/>
        <v/>
      </c>
      <c r="J236" s="1480"/>
      <c r="K236" s="1480" t="str">
        <f t="shared" si="26"/>
        <v/>
      </c>
      <c r="L236" s="904" t="s">
        <v>1189</v>
      </c>
      <c r="M236" s="1480">
        <v>173</v>
      </c>
      <c r="N236" s="1480"/>
      <c r="O236" s="1477"/>
      <c r="P236" s="1477"/>
      <c r="Q236" s="1477"/>
      <c r="R236" s="1477"/>
      <c r="S236" s="1477"/>
      <c r="T236" s="1477"/>
      <c r="U236" s="1477"/>
      <c r="V236" s="1477"/>
      <c r="W236" s="1477"/>
      <c r="X236" s="1477"/>
      <c r="Y236" s="1477"/>
      <c r="Z236" s="1477"/>
    </row>
    <row r="237" spans="1:26" hidden="1" x14ac:dyDescent="0.25">
      <c r="A237" s="925" t="s">
        <v>1190</v>
      </c>
      <c r="B237" s="867" t="str">
        <f t="shared" ca="1" si="31"/>
        <v>M29</v>
      </c>
      <c r="C237" s="867" t="str">
        <f t="shared" ca="1" si="30"/>
        <v>M</v>
      </c>
      <c r="D237" s="1480" t="s">
        <v>1372</v>
      </c>
      <c r="E237" s="867" t="s">
        <v>1373</v>
      </c>
      <c r="F237" s="1480"/>
      <c r="G237" s="1480"/>
      <c r="H237" s="1480"/>
      <c r="I237" s="1427" t="str">
        <f t="shared" si="25"/>
        <v>Secondary or Internal Customer</v>
      </c>
      <c r="J237" s="1480" t="str">
        <f>IF(M237&lt;&gt;"",Q$1&amp;M237,"")</f>
        <v>F174</v>
      </c>
      <c r="K237" s="1480" t="str">
        <f t="shared" si="26"/>
        <v>Required Info to Submit</v>
      </c>
      <c r="L237" s="904" t="s">
        <v>1190</v>
      </c>
      <c r="M237" s="1480">
        <v>174</v>
      </c>
      <c r="N237" s="1480"/>
      <c r="O237" s="1477"/>
      <c r="P237" s="1477"/>
      <c r="Q237" s="1477"/>
      <c r="R237" s="1477"/>
      <c r="S237" s="1477"/>
      <c r="T237" s="1477"/>
      <c r="U237" s="1477"/>
      <c r="V237" s="1477"/>
      <c r="W237" s="1477"/>
      <c r="X237" s="1477"/>
      <c r="Y237" s="1477"/>
      <c r="Z237" s="1477"/>
    </row>
    <row r="238" spans="1:26" hidden="1" x14ac:dyDescent="0.25">
      <c r="A238" s="925" t="s">
        <v>1191</v>
      </c>
      <c r="B238" s="867" t="str">
        <f t="shared" ca="1" si="31"/>
        <v>N29</v>
      </c>
      <c r="C238" s="867" t="str">
        <f t="shared" ca="1" si="30"/>
        <v>N</v>
      </c>
      <c r="D238" s="1480" t="s">
        <v>1372</v>
      </c>
      <c r="E238" s="867" t="s">
        <v>1373</v>
      </c>
      <c r="F238" s="1480"/>
      <c r="G238" s="1480"/>
      <c r="H238" s="1480"/>
      <c r="I238" s="1427" t="str">
        <f t="shared" si="25"/>
        <v>Fuel Surcharge Applied</v>
      </c>
      <c r="J238" s="1480" t="str">
        <f>IF(M238&lt;&gt;"",Q$1&amp;M238,"")</f>
        <v>F175</v>
      </c>
      <c r="K238" s="1480" t="str">
        <f t="shared" si="26"/>
        <v>Required Info to Submit</v>
      </c>
      <c r="L238" s="904" t="s">
        <v>1382</v>
      </c>
      <c r="M238" s="1480">
        <v>175</v>
      </c>
      <c r="N238" s="1480"/>
      <c r="O238" s="1477"/>
      <c r="P238" s="1477"/>
      <c r="Q238" s="1477"/>
      <c r="R238" s="1477"/>
      <c r="S238" s="1477"/>
      <c r="T238" s="1477"/>
      <c r="U238" s="1477"/>
      <c r="V238" s="1477"/>
      <c r="W238" s="1477"/>
      <c r="X238" s="1477"/>
      <c r="Y238" s="1477"/>
      <c r="Z238" s="1477"/>
    </row>
    <row r="239" spans="1:26" hidden="1" x14ac:dyDescent="0.25">
      <c r="A239" s="925" t="s">
        <v>1307</v>
      </c>
      <c r="B239" s="867" t="str">
        <f t="shared" ca="1" si="31"/>
        <v>O29</v>
      </c>
      <c r="C239" s="867" t="str">
        <f t="shared" ca="1" si="30"/>
        <v>O</v>
      </c>
      <c r="D239" s="1480" t="s">
        <v>1372</v>
      </c>
      <c r="E239" s="867" t="s">
        <v>1373</v>
      </c>
      <c r="F239" s="1480"/>
      <c r="G239" s="1480"/>
      <c r="H239" s="1480"/>
      <c r="I239" s="1427" t="str">
        <f t="shared" si="25"/>
        <v>Minimum Delivery Charge Applied Flag</v>
      </c>
      <c r="J239" s="1480" t="str">
        <f>IF(M239&lt;&gt;"",Q$1&amp;M239,"")</f>
        <v>F176</v>
      </c>
      <c r="K239" s="1480" t="str">
        <f t="shared" si="26"/>
        <v>Required Info to Submit</v>
      </c>
      <c r="L239" s="904" t="s">
        <v>1307</v>
      </c>
      <c r="M239" s="1480">
        <v>176</v>
      </c>
      <c r="N239" s="1480"/>
      <c r="O239" s="1477"/>
      <c r="P239" s="1477"/>
      <c r="Q239" s="1477"/>
      <c r="R239" s="1477"/>
      <c r="S239" s="1477"/>
      <c r="T239" s="1477"/>
      <c r="U239" s="1477"/>
      <c r="V239" s="1477"/>
      <c r="W239" s="1477"/>
      <c r="X239" s="1477"/>
      <c r="Y239" s="1477"/>
      <c r="Z239" s="1477"/>
    </row>
    <row r="240" spans="1:26" hidden="1" x14ac:dyDescent="0.25">
      <c r="A240" s="925" t="s">
        <v>770</v>
      </c>
      <c r="B240" s="867" t="str">
        <f t="shared" ca="1" si="31"/>
        <v>G29</v>
      </c>
      <c r="C240" s="867" t="str">
        <f t="shared" ca="1" si="30"/>
        <v>G</v>
      </c>
      <c r="D240" s="1480" t="s">
        <v>1372</v>
      </c>
      <c r="E240" s="867" t="s">
        <v>1373</v>
      </c>
      <c r="F240" s="1480"/>
      <c r="G240" s="1480"/>
      <c r="H240" s="1480"/>
      <c r="I240" s="1427" t="str">
        <f t="shared" si="25"/>
        <v>Address</v>
      </c>
      <c r="J240" s="1480" t="str">
        <f>IF(P233="",Q$1&amp;M240,"")</f>
        <v>F177</v>
      </c>
      <c r="K240" s="1480" t="str">
        <f t="shared" si="26"/>
        <v>Required Info to Submit</v>
      </c>
      <c r="L240" s="904" t="s">
        <v>770</v>
      </c>
      <c r="M240" s="1480">
        <v>177</v>
      </c>
      <c r="N240" s="1480"/>
      <c r="O240" s="1477"/>
      <c r="P240" s="1477"/>
      <c r="Q240" s="1477"/>
      <c r="R240" s="1477"/>
      <c r="S240" s="1477"/>
      <c r="T240" s="1477"/>
      <c r="U240" s="1477"/>
      <c r="V240" s="1477"/>
      <c r="W240" s="1477"/>
      <c r="X240" s="1477"/>
      <c r="Y240" s="1477"/>
      <c r="Z240" s="1477"/>
    </row>
    <row r="241" spans="1:26" hidden="1" x14ac:dyDescent="0.25">
      <c r="A241" s="925" t="s">
        <v>771</v>
      </c>
      <c r="B241" s="867" t="str">
        <f t="shared" ca="1" si="31"/>
        <v>H29</v>
      </c>
      <c r="C241" s="867" t="str">
        <f t="shared" ca="1" si="30"/>
        <v>H</v>
      </c>
      <c r="D241" s="1480" t="s">
        <v>1372</v>
      </c>
      <c r="E241" s="867" t="s">
        <v>1373</v>
      </c>
      <c r="F241" s="1480"/>
      <c r="G241" s="1480"/>
      <c r="H241" s="1480"/>
      <c r="I241" s="1427" t="str">
        <f t="shared" si="25"/>
        <v>City</v>
      </c>
      <c r="J241" s="1480" t="str">
        <f>IF(P233="",Q$1&amp;M241,"")</f>
        <v>F178</v>
      </c>
      <c r="K241" s="1480" t="str">
        <f t="shared" si="26"/>
        <v>Required Info to Submit</v>
      </c>
      <c r="L241" s="904" t="s">
        <v>771</v>
      </c>
      <c r="M241" s="1480">
        <v>178</v>
      </c>
      <c r="N241" s="1480"/>
      <c r="O241" s="1477"/>
      <c r="P241" s="1477"/>
      <c r="Q241" s="1477"/>
      <c r="R241" s="1477"/>
      <c r="S241" s="1477"/>
      <c r="T241" s="1477"/>
      <c r="U241" s="1477"/>
      <c r="V241" s="1477"/>
      <c r="W241" s="1477"/>
      <c r="X241" s="1477"/>
      <c r="Y241" s="1477"/>
      <c r="Z241" s="1477"/>
    </row>
    <row r="242" spans="1:26" hidden="1" x14ac:dyDescent="0.25">
      <c r="A242" s="925" t="s">
        <v>772</v>
      </c>
      <c r="B242" s="867" t="str">
        <f t="shared" ca="1" si="31"/>
        <v>I29</v>
      </c>
      <c r="C242" s="867" t="str">
        <f t="shared" ca="1" si="30"/>
        <v>I</v>
      </c>
      <c r="D242" s="1480" t="s">
        <v>1372</v>
      </c>
      <c r="E242" s="867" t="s">
        <v>1373</v>
      </c>
      <c r="F242" s="1480"/>
      <c r="G242" s="1480"/>
      <c r="H242" s="1480"/>
      <c r="I242" s="1427" t="str">
        <f t="shared" si="25"/>
        <v>State</v>
      </c>
      <c r="J242" s="1480" t="str">
        <f>IF(P233="",Q$1&amp;M242,"")</f>
        <v>F179</v>
      </c>
      <c r="K242" s="1480" t="str">
        <f t="shared" si="26"/>
        <v>Required Info to Submit</v>
      </c>
      <c r="L242" s="904" t="s">
        <v>772</v>
      </c>
      <c r="M242" s="1480">
        <v>179</v>
      </c>
      <c r="N242" s="1480"/>
      <c r="O242" s="1477"/>
      <c r="P242" s="1477"/>
      <c r="Q242" s="1477"/>
      <c r="R242" s="1477"/>
      <c r="S242" s="1477"/>
      <c r="T242" s="1477"/>
      <c r="U242" s="1477"/>
      <c r="V242" s="1477"/>
      <c r="W242" s="1477"/>
      <c r="X242" s="1477"/>
      <c r="Y242" s="1477"/>
      <c r="Z242" s="1477"/>
    </row>
    <row r="243" spans="1:26" hidden="1" x14ac:dyDescent="0.25">
      <c r="A243" s="925" t="s">
        <v>204</v>
      </c>
      <c r="B243" s="867" t="str">
        <f t="shared" ca="1" si="31"/>
        <v>J29</v>
      </c>
      <c r="C243" s="867" t="str">
        <f t="shared" ca="1" si="30"/>
        <v>J</v>
      </c>
      <c r="D243" s="1480" t="s">
        <v>1372</v>
      </c>
      <c r="E243" s="867" t="s">
        <v>1373</v>
      </c>
      <c r="F243" s="1480"/>
      <c r="G243" s="1480"/>
      <c r="H243" s="1480"/>
      <c r="I243" s="1427" t="str">
        <f t="shared" si="25"/>
        <v>Zip Code</v>
      </c>
      <c r="J243" s="1480" t="str">
        <f>IF(P233="",Q$1&amp;M243,"")</f>
        <v>F180</v>
      </c>
      <c r="K243" s="1480" t="str">
        <f t="shared" si="26"/>
        <v>Required Info to Submit</v>
      </c>
      <c r="L243" s="904" t="s">
        <v>204</v>
      </c>
      <c r="M243" s="1480">
        <v>180</v>
      </c>
      <c r="N243" s="1480"/>
      <c r="O243" s="1477"/>
      <c r="P243" s="1477"/>
      <c r="Q243" s="1477"/>
      <c r="R243" s="1477"/>
      <c r="S243" s="1477"/>
      <c r="T243" s="1477"/>
      <c r="U243" s="1477"/>
      <c r="V243" s="1477"/>
      <c r="W243" s="1477"/>
      <c r="X243" s="1477"/>
      <c r="Y243" s="1477"/>
      <c r="Z243" s="1477"/>
    </row>
    <row r="244" spans="1:26" hidden="1" x14ac:dyDescent="0.25">
      <c r="A244" s="926" t="s">
        <v>1188</v>
      </c>
      <c r="B244" s="867" t="str">
        <f ca="1">_xlfn.IFNA(_xlfn.CONCAT(SUBSTITUTE(ADDRESS(1,MATCH(A244,INDIRECT("'"&amp;E244&amp;"'"&amp;"!A22:Z22"),0),4),1,""),30),"")</f>
        <v>E30</v>
      </c>
      <c r="C244" s="867" t="str">
        <f t="shared" ca="1" si="30"/>
        <v>E</v>
      </c>
      <c r="D244" s="1480" t="s">
        <v>1372</v>
      </c>
      <c r="E244" s="867" t="s">
        <v>1373</v>
      </c>
      <c r="F244" s="1480"/>
      <c r="G244" s="1480"/>
      <c r="H244" s="1480"/>
      <c r="I244" s="1427" t="str">
        <f t="shared" si="25"/>
        <v/>
      </c>
      <c r="J244" s="1480"/>
      <c r="K244" s="1480" t="str">
        <f t="shared" si="26"/>
        <v/>
      </c>
      <c r="L244" s="904" t="s">
        <v>1188</v>
      </c>
      <c r="M244" s="1480">
        <v>181</v>
      </c>
      <c r="N244" s="1480"/>
      <c r="O244" s="1477"/>
      <c r="P244" s="1480" t="str">
        <f>IFERROR(VLOOKUP(Q$244,'Existing Customers'!$A:$F,1,FALSE),"")</f>
        <v/>
      </c>
      <c r="Q244" s="1480"/>
      <c r="R244" s="1477"/>
      <c r="S244" s="1477"/>
      <c r="T244" s="1477"/>
      <c r="U244" s="1477"/>
      <c r="V244" s="1477"/>
      <c r="W244" s="1477"/>
      <c r="X244" s="1477"/>
      <c r="Y244" s="1477"/>
      <c r="Z244" s="1477"/>
    </row>
    <row r="245" spans="1:26" hidden="1" x14ac:dyDescent="0.25">
      <c r="A245" s="927" t="s">
        <v>769</v>
      </c>
      <c r="B245" s="867" t="str">
        <f t="shared" ref="B245:B254" ca="1" si="32">_xlfn.IFNA(_xlfn.CONCAT(SUBSTITUTE(ADDRESS(1,MATCH(A245,INDIRECT("'"&amp;E245&amp;"'"&amp;"!A22:Z22"),0),4),1,""),30),"")</f>
        <v>F30</v>
      </c>
      <c r="C245" s="867" t="str">
        <f t="shared" ca="1" si="30"/>
        <v>F</v>
      </c>
      <c r="D245" s="1480" t="s">
        <v>1372</v>
      </c>
      <c r="E245" s="867" t="s">
        <v>1373</v>
      </c>
      <c r="F245" s="1480"/>
      <c r="G245" s="1480"/>
      <c r="H245" s="1480"/>
      <c r="I245" s="1427" t="str">
        <f t="shared" si="25"/>
        <v>Name</v>
      </c>
      <c r="J245" s="1480" t="str">
        <f>IF(P244="",Q$1&amp;M245,"")</f>
        <v>F183</v>
      </c>
      <c r="K245" s="1480" t="str">
        <f t="shared" si="26"/>
        <v>Required Info to Submit</v>
      </c>
      <c r="L245" s="904" t="s">
        <v>769</v>
      </c>
      <c r="M245" s="1480">
        <v>183</v>
      </c>
      <c r="N245" s="1480"/>
      <c r="O245" s="1477"/>
      <c r="P245" s="1477"/>
      <c r="Q245" s="1477"/>
      <c r="R245" s="1477"/>
      <c r="S245" s="1477"/>
      <c r="T245" s="1477"/>
      <c r="U245" s="1477"/>
      <c r="V245" s="1477"/>
      <c r="W245" s="1477"/>
      <c r="X245" s="1477"/>
      <c r="Y245" s="1477"/>
      <c r="Z245" s="1477"/>
    </row>
    <row r="246" spans="1:26" hidden="1" x14ac:dyDescent="0.25">
      <c r="A246" s="927" t="s">
        <v>768</v>
      </c>
      <c r="B246" s="867" t="str">
        <f t="shared" ca="1" si="32"/>
        <v>K30</v>
      </c>
      <c r="C246" s="867" t="str">
        <f t="shared" ca="1" si="30"/>
        <v>K</v>
      </c>
      <c r="D246" s="1480" t="s">
        <v>1372</v>
      </c>
      <c r="E246" s="867" t="s">
        <v>1373</v>
      </c>
      <c r="F246" s="1480"/>
      <c r="G246" s="1480"/>
      <c r="H246" s="1480"/>
      <c r="I246" s="1427" t="str">
        <f t="shared" si="25"/>
        <v/>
      </c>
      <c r="J246" s="1480"/>
      <c r="K246" s="1480" t="str">
        <f t="shared" si="26"/>
        <v/>
      </c>
      <c r="L246" s="904" t="s">
        <v>768</v>
      </c>
      <c r="M246" s="1480">
        <v>193</v>
      </c>
      <c r="N246" s="1480"/>
      <c r="O246" s="1477"/>
      <c r="P246" s="1477"/>
      <c r="Q246" s="1477"/>
      <c r="R246" s="1477"/>
      <c r="S246" s="1477"/>
      <c r="T246" s="1477"/>
      <c r="U246" s="1477"/>
      <c r="V246" s="1477"/>
      <c r="W246" s="1477"/>
      <c r="X246" s="1477"/>
      <c r="Y246" s="1477"/>
      <c r="Z246" s="1477"/>
    </row>
    <row r="247" spans="1:26" hidden="1" x14ac:dyDescent="0.25">
      <c r="A247" s="927" t="s">
        <v>1189</v>
      </c>
      <c r="B247" s="867" t="str">
        <f t="shared" ca="1" si="32"/>
        <v>L30</v>
      </c>
      <c r="C247" s="867" t="str">
        <f t="shared" ca="1" si="30"/>
        <v>L</v>
      </c>
      <c r="D247" s="1480" t="s">
        <v>1372</v>
      </c>
      <c r="E247" s="867" t="s">
        <v>1373</v>
      </c>
      <c r="F247" s="1480"/>
      <c r="G247" s="1480"/>
      <c r="H247" s="1480"/>
      <c r="I247" s="1427" t="str">
        <f t="shared" si="25"/>
        <v/>
      </c>
      <c r="J247" s="1480"/>
      <c r="K247" s="1480" t="str">
        <f t="shared" si="26"/>
        <v/>
      </c>
      <c r="L247" s="904" t="s">
        <v>1189</v>
      </c>
      <c r="M247" s="1480">
        <v>194</v>
      </c>
      <c r="N247" s="1480"/>
      <c r="O247" s="1477"/>
      <c r="P247" s="1477"/>
      <c r="Q247" s="1477"/>
      <c r="R247" s="1477"/>
      <c r="S247" s="1477"/>
      <c r="T247" s="1477"/>
      <c r="U247" s="1477"/>
      <c r="V247" s="1477"/>
      <c r="W247" s="1477"/>
      <c r="X247" s="1477"/>
      <c r="Y247" s="1477"/>
      <c r="Z247" s="1477"/>
    </row>
    <row r="248" spans="1:26" hidden="1" x14ac:dyDescent="0.25">
      <c r="A248" s="927" t="s">
        <v>1190</v>
      </c>
      <c r="B248" s="867" t="str">
        <f t="shared" ca="1" si="32"/>
        <v>M30</v>
      </c>
      <c r="C248" s="867" t="str">
        <f t="shared" ca="1" si="30"/>
        <v>M</v>
      </c>
      <c r="D248" s="1480" t="s">
        <v>1372</v>
      </c>
      <c r="E248" s="867" t="s">
        <v>1373</v>
      </c>
      <c r="F248" s="1480"/>
      <c r="G248" s="1480"/>
      <c r="H248" s="1480"/>
      <c r="I248" s="1427" t="str">
        <f t="shared" si="25"/>
        <v>Secondary or Internal Customer</v>
      </c>
      <c r="J248" s="1480" t="str">
        <f>IF(M248&lt;&gt;"",Q$1&amp;M248,"")</f>
        <v>F195</v>
      </c>
      <c r="K248" s="1480" t="str">
        <f t="shared" si="26"/>
        <v>Required Info to Submit</v>
      </c>
      <c r="L248" s="904" t="s">
        <v>1190</v>
      </c>
      <c r="M248" s="1480">
        <v>195</v>
      </c>
      <c r="N248" s="1480"/>
      <c r="O248" s="1477"/>
      <c r="P248" s="1477"/>
      <c r="Q248" s="1477"/>
      <c r="R248" s="1477"/>
      <c r="S248" s="1477"/>
      <c r="T248" s="1477"/>
      <c r="U248" s="1477"/>
      <c r="V248" s="1477"/>
      <c r="W248" s="1477"/>
      <c r="X248" s="1477"/>
      <c r="Y248" s="1477"/>
      <c r="Z248" s="1477"/>
    </row>
    <row r="249" spans="1:26" hidden="1" x14ac:dyDescent="0.25">
      <c r="A249" s="927" t="s">
        <v>1191</v>
      </c>
      <c r="B249" s="867" t="str">
        <f t="shared" ca="1" si="32"/>
        <v>N30</v>
      </c>
      <c r="C249" s="867" t="str">
        <f t="shared" ca="1" si="30"/>
        <v>N</v>
      </c>
      <c r="D249" s="1480" t="s">
        <v>1372</v>
      </c>
      <c r="E249" s="867" t="s">
        <v>1373</v>
      </c>
      <c r="F249" s="1480"/>
      <c r="G249" s="1480"/>
      <c r="H249" s="1480"/>
      <c r="I249" s="1427" t="str">
        <f t="shared" si="25"/>
        <v>Fuel Surcharge Applied</v>
      </c>
      <c r="J249" s="1480" t="str">
        <f>IF(M249&lt;&gt;"",Q$1&amp;M249,"")</f>
        <v>F196</v>
      </c>
      <c r="K249" s="1480" t="str">
        <f t="shared" si="26"/>
        <v>Required Info to Submit</v>
      </c>
      <c r="L249" s="904" t="s">
        <v>1382</v>
      </c>
      <c r="M249" s="1480">
        <v>196</v>
      </c>
      <c r="N249" s="1480"/>
      <c r="O249" s="1477"/>
      <c r="P249" s="1477"/>
      <c r="Q249" s="1477"/>
      <c r="R249" s="1477"/>
      <c r="S249" s="1477"/>
      <c r="T249" s="1477"/>
      <c r="U249" s="1477"/>
      <c r="V249" s="1477"/>
      <c r="W249" s="1477"/>
      <c r="X249" s="1477"/>
      <c r="Y249" s="1477"/>
      <c r="Z249" s="1477"/>
    </row>
    <row r="250" spans="1:26" hidden="1" x14ac:dyDescent="0.25">
      <c r="A250" s="927" t="s">
        <v>1307</v>
      </c>
      <c r="B250" s="867" t="str">
        <f t="shared" ca="1" si="32"/>
        <v>O30</v>
      </c>
      <c r="C250" s="867" t="str">
        <f t="shared" ca="1" si="30"/>
        <v>O</v>
      </c>
      <c r="D250" s="1480" t="s">
        <v>1372</v>
      </c>
      <c r="E250" s="867" t="s">
        <v>1373</v>
      </c>
      <c r="F250" s="1480"/>
      <c r="G250" s="1480"/>
      <c r="H250" s="1480"/>
      <c r="I250" s="1427" t="str">
        <f t="shared" si="25"/>
        <v>Minimum Delivery Charge Applied Flag</v>
      </c>
      <c r="J250" s="1480" t="str">
        <f>IF(M250&lt;&gt;"",Q$1&amp;M250,"")</f>
        <v>F197</v>
      </c>
      <c r="K250" s="1480" t="str">
        <f t="shared" si="26"/>
        <v>Required Info to Submit</v>
      </c>
      <c r="L250" s="904" t="s">
        <v>1307</v>
      </c>
      <c r="M250" s="1480">
        <v>197</v>
      </c>
      <c r="N250" s="1480"/>
      <c r="O250" s="1477"/>
      <c r="P250" s="1477"/>
      <c r="Q250" s="1477"/>
      <c r="R250" s="1477"/>
      <c r="S250" s="1477"/>
      <c r="T250" s="1477"/>
      <c r="U250" s="1477"/>
      <c r="V250" s="1477"/>
      <c r="W250" s="1477"/>
      <c r="X250" s="1477"/>
      <c r="Y250" s="1477"/>
      <c r="Z250" s="1477"/>
    </row>
    <row r="251" spans="1:26" hidden="1" x14ac:dyDescent="0.25">
      <c r="A251" s="927" t="s">
        <v>770</v>
      </c>
      <c r="B251" s="867" t="str">
        <f t="shared" ca="1" si="32"/>
        <v>G30</v>
      </c>
      <c r="C251" s="867" t="str">
        <f t="shared" ca="1" si="30"/>
        <v>G</v>
      </c>
      <c r="D251" s="1480" t="s">
        <v>1372</v>
      </c>
      <c r="E251" s="867" t="s">
        <v>1373</v>
      </c>
      <c r="F251" s="1480"/>
      <c r="G251" s="1480"/>
      <c r="H251" s="1480"/>
      <c r="I251" s="1427" t="str">
        <f t="shared" si="25"/>
        <v>Address</v>
      </c>
      <c r="J251" s="1480" t="str">
        <f>IF(P244="",Q$1&amp;M251,"")</f>
        <v>F198</v>
      </c>
      <c r="K251" s="1480" t="str">
        <f t="shared" si="26"/>
        <v>Required Info to Submit</v>
      </c>
      <c r="L251" s="904" t="s">
        <v>770</v>
      </c>
      <c r="M251" s="1480">
        <v>198</v>
      </c>
      <c r="N251" s="1480"/>
      <c r="O251" s="1477"/>
      <c r="P251" s="1477"/>
      <c r="Q251" s="1477"/>
      <c r="R251" s="1477"/>
      <c r="S251" s="1477"/>
      <c r="T251" s="1477"/>
      <c r="U251" s="1477"/>
      <c r="V251" s="1477"/>
      <c r="W251" s="1477"/>
      <c r="X251" s="1477"/>
      <c r="Y251" s="1477"/>
      <c r="Z251" s="1477"/>
    </row>
    <row r="252" spans="1:26" hidden="1" x14ac:dyDescent="0.25">
      <c r="A252" s="927" t="s">
        <v>771</v>
      </c>
      <c r="B252" s="867" t="str">
        <f t="shared" ca="1" si="32"/>
        <v>H30</v>
      </c>
      <c r="C252" s="867" t="str">
        <f t="shared" ca="1" si="30"/>
        <v>H</v>
      </c>
      <c r="D252" s="1480" t="s">
        <v>1372</v>
      </c>
      <c r="E252" s="867" t="s">
        <v>1373</v>
      </c>
      <c r="F252" s="1480"/>
      <c r="G252" s="1480"/>
      <c r="H252" s="1480"/>
      <c r="I252" s="1427" t="str">
        <f t="shared" si="25"/>
        <v>City</v>
      </c>
      <c r="J252" s="1480" t="str">
        <f>IF(P244="",Q$1&amp;M252,"")</f>
        <v>F199</v>
      </c>
      <c r="K252" s="1480" t="str">
        <f t="shared" si="26"/>
        <v>Required Info to Submit</v>
      </c>
      <c r="L252" s="904" t="s">
        <v>771</v>
      </c>
      <c r="M252" s="1480">
        <v>199</v>
      </c>
      <c r="N252" s="1480"/>
      <c r="O252" s="1477"/>
      <c r="P252" s="1477"/>
      <c r="Q252" s="1477"/>
      <c r="R252" s="1477"/>
      <c r="S252" s="1477"/>
      <c r="T252" s="1477"/>
      <c r="U252" s="1477"/>
      <c r="V252" s="1477"/>
      <c r="W252" s="1477"/>
      <c r="X252" s="1477"/>
      <c r="Y252" s="1477"/>
      <c r="Z252" s="1477"/>
    </row>
    <row r="253" spans="1:26" hidden="1" x14ac:dyDescent="0.25">
      <c r="A253" s="927" t="s">
        <v>772</v>
      </c>
      <c r="B253" s="867" t="str">
        <f t="shared" ca="1" si="32"/>
        <v>I30</v>
      </c>
      <c r="C253" s="867" t="str">
        <f t="shared" ca="1" si="30"/>
        <v>I</v>
      </c>
      <c r="D253" s="1480" t="s">
        <v>1372</v>
      </c>
      <c r="E253" s="867" t="s">
        <v>1373</v>
      </c>
      <c r="F253" s="1480"/>
      <c r="G253" s="1480"/>
      <c r="H253" s="1480"/>
      <c r="I253" s="1427" t="str">
        <f t="shared" si="25"/>
        <v>State</v>
      </c>
      <c r="J253" s="1480" t="str">
        <f>IF(P244="",Q$1&amp;M253,"")</f>
        <v>F200</v>
      </c>
      <c r="K253" s="1480" t="str">
        <f t="shared" si="26"/>
        <v>Required Info to Submit</v>
      </c>
      <c r="L253" s="904" t="s">
        <v>772</v>
      </c>
      <c r="M253" s="1480">
        <v>200</v>
      </c>
      <c r="N253" s="1480"/>
      <c r="O253" s="1477"/>
      <c r="P253" s="1477"/>
      <c r="Q253" s="1477"/>
      <c r="R253" s="1477"/>
      <c r="S253" s="1477"/>
      <c r="T253" s="1477"/>
      <c r="U253" s="1477"/>
      <c r="V253" s="1477"/>
      <c r="W253" s="1477"/>
      <c r="X253" s="1477"/>
      <c r="Y253" s="1477"/>
      <c r="Z253" s="1477"/>
    </row>
    <row r="254" spans="1:26" hidden="1" x14ac:dyDescent="0.25">
      <c r="A254" s="927" t="s">
        <v>204</v>
      </c>
      <c r="B254" s="867" t="str">
        <f t="shared" ca="1" si="32"/>
        <v>J30</v>
      </c>
      <c r="C254" s="867" t="str">
        <f t="shared" ca="1" si="30"/>
        <v>J</v>
      </c>
      <c r="D254" s="1480" t="s">
        <v>1372</v>
      </c>
      <c r="E254" s="867" t="s">
        <v>1373</v>
      </c>
      <c r="F254" s="1480"/>
      <c r="G254" s="1480"/>
      <c r="H254" s="1480"/>
      <c r="I254" s="1427" t="str">
        <f t="shared" si="25"/>
        <v>Zip Code</v>
      </c>
      <c r="J254" s="1480" t="str">
        <f>IF(P244="",Q$1&amp;M254,"")</f>
        <v>F201</v>
      </c>
      <c r="K254" s="1480" t="str">
        <f t="shared" si="26"/>
        <v>Required Info to Submit</v>
      </c>
      <c r="L254" s="904" t="s">
        <v>204</v>
      </c>
      <c r="M254" s="1480">
        <v>201</v>
      </c>
      <c r="N254" s="1480"/>
      <c r="O254" s="1477"/>
      <c r="P254" s="1477"/>
      <c r="Q254" s="1477"/>
      <c r="R254" s="1477"/>
      <c r="S254" s="1477"/>
      <c r="T254" s="1477"/>
      <c r="U254" s="1477"/>
      <c r="V254" s="1477"/>
      <c r="W254" s="1477"/>
      <c r="X254" s="1477"/>
      <c r="Y254" s="1477"/>
      <c r="Z254" s="1477"/>
    </row>
    <row r="255" spans="1:26" hidden="1" x14ac:dyDescent="0.25">
      <c r="A255" s="924" t="s">
        <v>1188</v>
      </c>
      <c r="B255" s="867" t="str">
        <f ca="1">_xlfn.IFNA(_xlfn.CONCAT(SUBSTITUTE(ADDRESS(1,MATCH(A255,INDIRECT("'"&amp;E255&amp;"'"&amp;"!A22:Z22"),0),4),1,""),31),"")</f>
        <v>E31</v>
      </c>
      <c r="C255" s="867" t="str">
        <f t="shared" ca="1" si="30"/>
        <v>E</v>
      </c>
      <c r="D255" s="1480" t="s">
        <v>1372</v>
      </c>
      <c r="E255" s="867" t="s">
        <v>1373</v>
      </c>
      <c r="F255" s="1480"/>
      <c r="G255" s="1480"/>
      <c r="H255" s="1480"/>
      <c r="I255" s="1427" t="str">
        <f t="shared" si="25"/>
        <v/>
      </c>
      <c r="J255" s="1480"/>
      <c r="K255" s="1480" t="str">
        <f t="shared" si="26"/>
        <v/>
      </c>
      <c r="L255" s="904" t="s">
        <v>1188</v>
      </c>
      <c r="M255" s="1480">
        <v>202</v>
      </c>
      <c r="N255" s="1480"/>
      <c r="O255" s="1477"/>
      <c r="P255" s="1480" t="str">
        <f>IFERROR(VLOOKUP(Q$255,'Existing Customers'!$A:$F,1,FALSE),"")</f>
        <v/>
      </c>
      <c r="Q255" s="1480"/>
      <c r="R255" s="1477"/>
      <c r="S255" s="1477"/>
      <c r="T255" s="1477"/>
      <c r="U255" s="1477"/>
      <c r="V255" s="1477"/>
      <c r="W255" s="1477"/>
      <c r="X255" s="1477"/>
      <c r="Y255" s="1477"/>
      <c r="Z255" s="1477"/>
    </row>
    <row r="256" spans="1:26" hidden="1" x14ac:dyDescent="0.25">
      <c r="A256" s="925" t="s">
        <v>769</v>
      </c>
      <c r="B256" s="867" t="str">
        <f t="shared" ref="B256:B265" ca="1" si="33">_xlfn.IFNA(_xlfn.CONCAT(SUBSTITUTE(ADDRESS(1,MATCH(A256,INDIRECT("'"&amp;E256&amp;"'"&amp;"!A22:Z22"),0),4),1,""),31),"")</f>
        <v>F31</v>
      </c>
      <c r="C256" s="867" t="str">
        <f t="shared" ca="1" si="30"/>
        <v>F</v>
      </c>
      <c r="D256" s="1480" t="s">
        <v>1372</v>
      </c>
      <c r="E256" s="867" t="s">
        <v>1373</v>
      </c>
      <c r="F256" s="1480"/>
      <c r="G256" s="1480"/>
      <c r="H256" s="1480"/>
      <c r="I256" s="1427" t="str">
        <f t="shared" si="25"/>
        <v>Name</v>
      </c>
      <c r="J256" s="1480" t="str">
        <f>IF(P255="",Q$1&amp;M256,"")</f>
        <v>F204</v>
      </c>
      <c r="K256" s="1480" t="str">
        <f t="shared" si="26"/>
        <v>Required Info to Submit</v>
      </c>
      <c r="L256" s="904" t="s">
        <v>769</v>
      </c>
      <c r="M256" s="1480">
        <v>204</v>
      </c>
      <c r="N256" s="1480"/>
      <c r="O256" s="1477"/>
      <c r="P256" s="1477"/>
      <c r="Q256" s="1477"/>
      <c r="R256" s="1477"/>
      <c r="S256" s="1477"/>
      <c r="T256" s="1477"/>
      <c r="U256" s="1477"/>
      <c r="V256" s="1477"/>
      <c r="W256" s="1477"/>
      <c r="X256" s="1477"/>
      <c r="Y256" s="1477"/>
      <c r="Z256" s="1477"/>
    </row>
    <row r="257" spans="1:26" hidden="1" x14ac:dyDescent="0.25">
      <c r="A257" s="925" t="s">
        <v>768</v>
      </c>
      <c r="B257" s="867" t="str">
        <f t="shared" ca="1" si="33"/>
        <v>K31</v>
      </c>
      <c r="C257" s="867" t="str">
        <f t="shared" ca="1" si="30"/>
        <v>K</v>
      </c>
      <c r="D257" s="1480" t="s">
        <v>1372</v>
      </c>
      <c r="E257" s="867" t="s">
        <v>1373</v>
      </c>
      <c r="F257" s="1480"/>
      <c r="G257" s="1480"/>
      <c r="H257" s="1480"/>
      <c r="I257" s="1427" t="str">
        <f t="shared" si="25"/>
        <v/>
      </c>
      <c r="J257" s="1480"/>
      <c r="K257" s="1480" t="str">
        <f t="shared" si="26"/>
        <v/>
      </c>
      <c r="L257" s="904" t="s">
        <v>768</v>
      </c>
      <c r="M257" s="1480">
        <v>214</v>
      </c>
      <c r="N257" s="1480"/>
      <c r="O257" s="1477"/>
      <c r="P257" s="1477"/>
      <c r="Q257" s="1477"/>
      <c r="R257" s="1477"/>
      <c r="S257" s="1477"/>
      <c r="T257" s="1477"/>
      <c r="U257" s="1477"/>
      <c r="V257" s="1477"/>
      <c r="W257" s="1477"/>
      <c r="X257" s="1477"/>
      <c r="Y257" s="1477"/>
      <c r="Z257" s="1477"/>
    </row>
    <row r="258" spans="1:26" hidden="1" x14ac:dyDescent="0.25">
      <c r="A258" s="925" t="s">
        <v>1189</v>
      </c>
      <c r="B258" s="867" t="str">
        <f t="shared" ca="1" si="33"/>
        <v>L31</v>
      </c>
      <c r="C258" s="867" t="str">
        <f t="shared" ca="1" si="30"/>
        <v>L</v>
      </c>
      <c r="D258" s="1480" t="s">
        <v>1372</v>
      </c>
      <c r="E258" s="867" t="s">
        <v>1373</v>
      </c>
      <c r="F258" s="1480"/>
      <c r="G258" s="1480"/>
      <c r="H258" s="1480"/>
      <c r="I258" s="1427" t="str">
        <f t="shared" si="25"/>
        <v/>
      </c>
      <c r="J258" s="1480"/>
      <c r="K258" s="1480" t="str">
        <f t="shared" si="26"/>
        <v/>
      </c>
      <c r="L258" s="904" t="s">
        <v>1189</v>
      </c>
      <c r="M258" s="1480">
        <v>215</v>
      </c>
      <c r="N258" s="1480"/>
      <c r="O258" s="1477"/>
      <c r="P258" s="1477"/>
      <c r="Q258" s="1477"/>
      <c r="R258" s="1477"/>
      <c r="S258" s="1477"/>
      <c r="T258" s="1477"/>
      <c r="U258" s="1477"/>
      <c r="V258" s="1477"/>
      <c r="W258" s="1477"/>
      <c r="X258" s="1477"/>
      <c r="Y258" s="1477"/>
      <c r="Z258" s="1477"/>
    </row>
    <row r="259" spans="1:26" hidden="1" x14ac:dyDescent="0.25">
      <c r="A259" s="925" t="s">
        <v>1190</v>
      </c>
      <c r="B259" s="867" t="str">
        <f t="shared" ca="1" si="33"/>
        <v>M31</v>
      </c>
      <c r="C259" s="867" t="str">
        <f t="shared" ca="1" si="30"/>
        <v>M</v>
      </c>
      <c r="D259" s="1480" t="s">
        <v>1372</v>
      </c>
      <c r="E259" s="867" t="s">
        <v>1373</v>
      </c>
      <c r="F259" s="1480"/>
      <c r="G259" s="1480"/>
      <c r="H259" s="1480"/>
      <c r="I259" s="1427" t="str">
        <f t="shared" si="25"/>
        <v>Secondary or Internal Customer</v>
      </c>
      <c r="J259" s="1480" t="str">
        <f>IF(M259&lt;&gt;"",Q$1&amp;M259,"")</f>
        <v>F216</v>
      </c>
      <c r="K259" s="1480" t="str">
        <f t="shared" si="26"/>
        <v>Required Info to Submit</v>
      </c>
      <c r="L259" s="904" t="s">
        <v>1190</v>
      </c>
      <c r="M259" s="1480">
        <v>216</v>
      </c>
      <c r="N259" s="1480"/>
      <c r="O259" s="1477"/>
      <c r="P259" s="1477"/>
      <c r="Q259" s="1477"/>
      <c r="R259" s="1477"/>
      <c r="S259" s="1477"/>
      <c r="T259" s="1477"/>
      <c r="U259" s="1477"/>
      <c r="V259" s="1477"/>
      <c r="W259" s="1477"/>
      <c r="X259" s="1477"/>
      <c r="Y259" s="1477"/>
      <c r="Z259" s="1477"/>
    </row>
    <row r="260" spans="1:26" hidden="1" x14ac:dyDescent="0.25">
      <c r="A260" s="925" t="s">
        <v>1191</v>
      </c>
      <c r="B260" s="867" t="str">
        <f t="shared" ca="1" si="33"/>
        <v>N31</v>
      </c>
      <c r="C260" s="867" t="str">
        <f t="shared" ca="1" si="30"/>
        <v>N</v>
      </c>
      <c r="D260" s="1480" t="s">
        <v>1372</v>
      </c>
      <c r="E260" s="867" t="s">
        <v>1373</v>
      </c>
      <c r="F260" s="1480"/>
      <c r="G260" s="1480"/>
      <c r="H260" s="1480"/>
      <c r="I260" s="1427" t="str">
        <f t="shared" ref="I260:I323" si="34">IF(J260&lt;&gt;"",A260,"")</f>
        <v>Fuel Surcharge Applied</v>
      </c>
      <c r="J260" s="1480" t="str">
        <f>IF(M260&lt;&gt;"",Q$1&amp;M260,"")</f>
        <v>F217</v>
      </c>
      <c r="K260" s="1480" t="str">
        <f t="shared" ref="K260:K323" si="35">IF(J260&lt;&gt;"",E260,"")</f>
        <v>Required Info to Submit</v>
      </c>
      <c r="L260" s="904" t="s">
        <v>1382</v>
      </c>
      <c r="M260" s="1480">
        <v>217</v>
      </c>
      <c r="N260" s="1480"/>
      <c r="O260" s="1477"/>
      <c r="P260" s="1477"/>
      <c r="Q260" s="1477"/>
      <c r="R260" s="1477"/>
      <c r="S260" s="1477"/>
      <c r="T260" s="1477"/>
      <c r="U260" s="1477"/>
      <c r="V260" s="1477"/>
      <c r="W260" s="1477"/>
      <c r="X260" s="1477"/>
      <c r="Y260" s="1477"/>
      <c r="Z260" s="1477"/>
    </row>
    <row r="261" spans="1:26" hidden="1" x14ac:dyDescent="0.25">
      <c r="A261" s="925" t="s">
        <v>1307</v>
      </c>
      <c r="B261" s="867" t="str">
        <f t="shared" ca="1" si="33"/>
        <v>O31</v>
      </c>
      <c r="C261" s="867" t="str">
        <f t="shared" ca="1" si="30"/>
        <v>O</v>
      </c>
      <c r="D261" s="1480" t="s">
        <v>1372</v>
      </c>
      <c r="E261" s="867" t="s">
        <v>1373</v>
      </c>
      <c r="F261" s="1480"/>
      <c r="G261" s="1480"/>
      <c r="H261" s="1480"/>
      <c r="I261" s="1427" t="str">
        <f t="shared" si="34"/>
        <v>Minimum Delivery Charge Applied Flag</v>
      </c>
      <c r="J261" s="1480" t="str">
        <f>IF(M261&lt;&gt;"",Q$1&amp;M261,"")</f>
        <v>F218</v>
      </c>
      <c r="K261" s="1480" t="str">
        <f t="shared" si="35"/>
        <v>Required Info to Submit</v>
      </c>
      <c r="L261" s="904" t="s">
        <v>1307</v>
      </c>
      <c r="M261" s="1480">
        <v>218</v>
      </c>
      <c r="N261" s="1480"/>
      <c r="O261" s="1477"/>
      <c r="P261" s="1477"/>
      <c r="Q261" s="1477"/>
      <c r="R261" s="1477"/>
      <c r="S261" s="1477"/>
      <c r="T261" s="1477"/>
      <c r="U261" s="1477"/>
      <c r="V261" s="1477"/>
      <c r="W261" s="1477"/>
      <c r="X261" s="1477"/>
      <c r="Y261" s="1477"/>
      <c r="Z261" s="1477"/>
    </row>
    <row r="262" spans="1:26" hidden="1" x14ac:dyDescent="0.25">
      <c r="A262" s="925" t="s">
        <v>770</v>
      </c>
      <c r="B262" s="867" t="str">
        <f t="shared" ca="1" si="33"/>
        <v>G31</v>
      </c>
      <c r="C262" s="867" t="str">
        <f t="shared" ca="1" si="30"/>
        <v>G</v>
      </c>
      <c r="D262" s="1480" t="s">
        <v>1372</v>
      </c>
      <c r="E262" s="867" t="s">
        <v>1373</v>
      </c>
      <c r="F262" s="1480"/>
      <c r="G262" s="1480"/>
      <c r="H262" s="1480"/>
      <c r="I262" s="1427" t="str">
        <f t="shared" si="34"/>
        <v>Address</v>
      </c>
      <c r="J262" s="1480" t="str">
        <f>IF(P255="",Q$1&amp;M262,"")</f>
        <v>F219</v>
      </c>
      <c r="K262" s="1480" t="str">
        <f t="shared" si="35"/>
        <v>Required Info to Submit</v>
      </c>
      <c r="L262" s="904" t="s">
        <v>770</v>
      </c>
      <c r="M262" s="1480">
        <v>219</v>
      </c>
      <c r="N262" s="1480"/>
      <c r="O262" s="1477"/>
      <c r="P262" s="1477"/>
      <c r="Q262" s="1477"/>
      <c r="R262" s="1477"/>
      <c r="S262" s="1477"/>
      <c r="T262" s="1477"/>
      <c r="U262" s="1477"/>
      <c r="V262" s="1477"/>
      <c r="W262" s="1477"/>
      <c r="X262" s="1477"/>
      <c r="Y262" s="1477"/>
      <c r="Z262" s="1477"/>
    </row>
    <row r="263" spans="1:26" hidden="1" x14ac:dyDescent="0.25">
      <c r="A263" s="925" t="s">
        <v>771</v>
      </c>
      <c r="B263" s="867" t="str">
        <f t="shared" ca="1" si="33"/>
        <v>H31</v>
      </c>
      <c r="C263" s="867" t="str">
        <f t="shared" ca="1" si="30"/>
        <v>H</v>
      </c>
      <c r="D263" s="1480" t="s">
        <v>1372</v>
      </c>
      <c r="E263" s="867" t="s">
        <v>1373</v>
      </c>
      <c r="F263" s="1480"/>
      <c r="G263" s="1480"/>
      <c r="H263" s="1480"/>
      <c r="I263" s="1427" t="str">
        <f t="shared" si="34"/>
        <v>City</v>
      </c>
      <c r="J263" s="1480" t="str">
        <f>IF(P255="",Q$1&amp;M263,"")</f>
        <v>F220</v>
      </c>
      <c r="K263" s="1480" t="str">
        <f t="shared" si="35"/>
        <v>Required Info to Submit</v>
      </c>
      <c r="L263" s="904" t="s">
        <v>771</v>
      </c>
      <c r="M263" s="1480">
        <v>220</v>
      </c>
      <c r="N263" s="1480"/>
      <c r="O263" s="1477"/>
      <c r="P263" s="1477"/>
      <c r="Q263" s="1477"/>
      <c r="R263" s="1477"/>
      <c r="S263" s="1477"/>
      <c r="T263" s="1477"/>
      <c r="U263" s="1477"/>
      <c r="V263" s="1477"/>
      <c r="W263" s="1477"/>
      <c r="X263" s="1477"/>
      <c r="Y263" s="1477"/>
      <c r="Z263" s="1477"/>
    </row>
    <row r="264" spans="1:26" hidden="1" x14ac:dyDescent="0.25">
      <c r="A264" s="925" t="s">
        <v>772</v>
      </c>
      <c r="B264" s="867" t="str">
        <f t="shared" ca="1" si="33"/>
        <v>I31</v>
      </c>
      <c r="C264" s="867" t="str">
        <f t="shared" ca="1" si="30"/>
        <v>I</v>
      </c>
      <c r="D264" s="1480" t="s">
        <v>1372</v>
      </c>
      <c r="E264" s="867" t="s">
        <v>1373</v>
      </c>
      <c r="F264" s="1480"/>
      <c r="G264" s="1480"/>
      <c r="H264" s="1480"/>
      <c r="I264" s="1427" t="str">
        <f t="shared" si="34"/>
        <v>State</v>
      </c>
      <c r="J264" s="1480" t="str">
        <f>IF(P255="",Q$1&amp;M264,"")</f>
        <v>F221</v>
      </c>
      <c r="K264" s="1480" t="str">
        <f t="shared" si="35"/>
        <v>Required Info to Submit</v>
      </c>
      <c r="L264" s="904" t="s">
        <v>772</v>
      </c>
      <c r="M264" s="1480">
        <v>221</v>
      </c>
      <c r="N264" s="1480"/>
      <c r="O264" s="1477"/>
      <c r="P264" s="1477"/>
      <c r="Q264" s="1477"/>
      <c r="R264" s="1477"/>
      <c r="S264" s="1477"/>
      <c r="T264" s="1477"/>
      <c r="U264" s="1477"/>
      <c r="V264" s="1477"/>
      <c r="W264" s="1477"/>
      <c r="X264" s="1477"/>
      <c r="Y264" s="1477"/>
      <c r="Z264" s="1477"/>
    </row>
    <row r="265" spans="1:26" hidden="1" x14ac:dyDescent="0.25">
      <c r="A265" s="925" t="s">
        <v>204</v>
      </c>
      <c r="B265" s="867" t="str">
        <f t="shared" ca="1" si="33"/>
        <v>J31</v>
      </c>
      <c r="C265" s="867" t="str">
        <f t="shared" ca="1" si="30"/>
        <v>J</v>
      </c>
      <c r="D265" s="1480" t="s">
        <v>1372</v>
      </c>
      <c r="E265" s="867" t="s">
        <v>1373</v>
      </c>
      <c r="F265" s="1480"/>
      <c r="G265" s="1480"/>
      <c r="H265" s="1480"/>
      <c r="I265" s="1427" t="str">
        <f t="shared" si="34"/>
        <v>Zip Code</v>
      </c>
      <c r="J265" s="1480" t="str">
        <f>IF(P255="",Q$1&amp;M265,"")</f>
        <v>F222</v>
      </c>
      <c r="K265" s="1480" t="str">
        <f t="shared" si="35"/>
        <v>Required Info to Submit</v>
      </c>
      <c r="L265" s="904" t="s">
        <v>204</v>
      </c>
      <c r="M265" s="1480">
        <v>222</v>
      </c>
      <c r="N265" s="1480"/>
      <c r="O265" s="1477"/>
      <c r="P265" s="1477"/>
      <c r="Q265" s="1477"/>
      <c r="R265" s="1477"/>
      <c r="S265" s="1477"/>
      <c r="T265" s="1477"/>
      <c r="U265" s="1477"/>
      <c r="V265" s="1477"/>
      <c r="W265" s="1477"/>
      <c r="X265" s="1477"/>
      <c r="Y265" s="1477"/>
      <c r="Z265" s="1477"/>
    </row>
    <row r="266" spans="1:26" hidden="1" x14ac:dyDescent="0.25">
      <c r="A266" s="926" t="s">
        <v>1188</v>
      </c>
      <c r="B266" s="867" t="str">
        <f ca="1">_xlfn.IFNA(_xlfn.CONCAT(SUBSTITUTE(ADDRESS(1,MATCH(A266,INDIRECT("'"&amp;E266&amp;"'"&amp;"!A22:Z22"),0),4),1,""),32),"")</f>
        <v>E32</v>
      </c>
      <c r="C266" s="867" t="str">
        <f t="shared" ca="1" si="30"/>
        <v>E</v>
      </c>
      <c r="D266" s="1480" t="s">
        <v>1372</v>
      </c>
      <c r="E266" s="867" t="s">
        <v>1373</v>
      </c>
      <c r="F266" s="1480"/>
      <c r="G266" s="1480"/>
      <c r="H266" s="1480"/>
      <c r="I266" s="1427" t="str">
        <f t="shared" si="34"/>
        <v/>
      </c>
      <c r="J266" s="1480"/>
      <c r="K266" s="1480" t="str">
        <f t="shared" si="35"/>
        <v/>
      </c>
      <c r="L266" s="904" t="s">
        <v>1188</v>
      </c>
      <c r="M266" s="1480">
        <v>223</v>
      </c>
      <c r="N266" s="1480"/>
      <c r="O266" s="1477"/>
      <c r="P266" s="1480" t="str">
        <f>IFERROR(VLOOKUP(Q$266,'Existing Customers'!$A:$F,1,FALSE),"")</f>
        <v/>
      </c>
      <c r="Q266" s="1480"/>
      <c r="R266" s="1477"/>
      <c r="S266" s="1477"/>
      <c r="T266" s="1477"/>
      <c r="U266" s="1477"/>
      <c r="V266" s="1477"/>
      <c r="W266" s="1477"/>
      <c r="X266" s="1477"/>
      <c r="Y266" s="1477"/>
      <c r="Z266" s="1477"/>
    </row>
    <row r="267" spans="1:26" hidden="1" x14ac:dyDescent="0.25">
      <c r="A267" s="927" t="s">
        <v>769</v>
      </c>
      <c r="B267" s="867" t="str">
        <f t="shared" ref="B267:B276" ca="1" si="36">_xlfn.IFNA(_xlfn.CONCAT(SUBSTITUTE(ADDRESS(1,MATCH(A267,INDIRECT("'"&amp;E267&amp;"'"&amp;"!A22:Z22"),0),4),1,""),32),"")</f>
        <v>F32</v>
      </c>
      <c r="C267" s="867" t="str">
        <f t="shared" ca="1" si="30"/>
        <v>F</v>
      </c>
      <c r="D267" s="1480" t="s">
        <v>1372</v>
      </c>
      <c r="E267" s="867" t="s">
        <v>1373</v>
      </c>
      <c r="F267" s="1480"/>
      <c r="G267" s="1480"/>
      <c r="H267" s="1480"/>
      <c r="I267" s="1427" t="str">
        <f t="shared" si="34"/>
        <v>Name</v>
      </c>
      <c r="J267" s="1480" t="str">
        <f>IF(P266="",Q$1&amp;M267,"")</f>
        <v>F225</v>
      </c>
      <c r="K267" s="1480" t="str">
        <f t="shared" si="35"/>
        <v>Required Info to Submit</v>
      </c>
      <c r="L267" s="904" t="s">
        <v>769</v>
      </c>
      <c r="M267" s="1480">
        <v>225</v>
      </c>
      <c r="N267" s="1480"/>
      <c r="O267" s="1477"/>
      <c r="P267" s="1477"/>
      <c r="Q267" s="1477"/>
      <c r="R267" s="1477"/>
      <c r="S267" s="1477"/>
      <c r="T267" s="1477"/>
      <c r="U267" s="1477"/>
      <c r="V267" s="1477"/>
      <c r="W267" s="1477"/>
      <c r="X267" s="1477"/>
      <c r="Y267" s="1477"/>
      <c r="Z267" s="1477"/>
    </row>
    <row r="268" spans="1:26" hidden="1" x14ac:dyDescent="0.25">
      <c r="A268" s="927" t="s">
        <v>768</v>
      </c>
      <c r="B268" s="867" t="str">
        <f t="shared" ca="1" si="36"/>
        <v>K32</v>
      </c>
      <c r="C268" s="867" t="str">
        <f t="shared" ca="1" si="30"/>
        <v>K</v>
      </c>
      <c r="D268" s="1480" t="s">
        <v>1372</v>
      </c>
      <c r="E268" s="867" t="s">
        <v>1373</v>
      </c>
      <c r="F268" s="1480"/>
      <c r="G268" s="1480"/>
      <c r="H268" s="1480"/>
      <c r="I268" s="1427" t="str">
        <f t="shared" si="34"/>
        <v/>
      </c>
      <c r="J268" s="1480"/>
      <c r="K268" s="1480" t="str">
        <f t="shared" si="35"/>
        <v/>
      </c>
      <c r="L268" s="904" t="s">
        <v>768</v>
      </c>
      <c r="M268" s="1480">
        <v>235</v>
      </c>
      <c r="N268" s="1480"/>
      <c r="O268" s="1477"/>
      <c r="P268" s="1477"/>
      <c r="Q268" s="1477"/>
      <c r="R268" s="1477"/>
      <c r="S268" s="1477"/>
      <c r="T268" s="1477"/>
      <c r="U268" s="1477"/>
      <c r="V268" s="1477"/>
      <c r="W268" s="1477"/>
      <c r="X268" s="1477"/>
      <c r="Y268" s="1477"/>
      <c r="Z268" s="1477"/>
    </row>
    <row r="269" spans="1:26" hidden="1" x14ac:dyDescent="0.25">
      <c r="A269" s="927" t="s">
        <v>1189</v>
      </c>
      <c r="B269" s="867" t="str">
        <f t="shared" ca="1" si="36"/>
        <v>L32</v>
      </c>
      <c r="C269" s="867" t="str">
        <f t="shared" ca="1" si="30"/>
        <v>L</v>
      </c>
      <c r="D269" s="1480" t="s">
        <v>1372</v>
      </c>
      <c r="E269" s="867" t="s">
        <v>1373</v>
      </c>
      <c r="F269" s="1480"/>
      <c r="G269" s="1480"/>
      <c r="H269" s="1480"/>
      <c r="I269" s="1427" t="str">
        <f t="shared" si="34"/>
        <v/>
      </c>
      <c r="J269" s="1480"/>
      <c r="K269" s="1480" t="str">
        <f t="shared" si="35"/>
        <v/>
      </c>
      <c r="L269" s="904" t="s">
        <v>1189</v>
      </c>
      <c r="M269" s="1480">
        <v>236</v>
      </c>
      <c r="N269" s="1480"/>
      <c r="O269" s="1477"/>
      <c r="P269" s="1477"/>
      <c r="Q269" s="1477"/>
      <c r="R269" s="1477"/>
      <c r="S269" s="1477"/>
      <c r="T269" s="1477"/>
      <c r="U269" s="1477"/>
      <c r="V269" s="1477"/>
      <c r="W269" s="1477"/>
      <c r="X269" s="1477"/>
      <c r="Y269" s="1477"/>
      <c r="Z269" s="1477"/>
    </row>
    <row r="270" spans="1:26" hidden="1" x14ac:dyDescent="0.25">
      <c r="A270" s="927" t="s">
        <v>1190</v>
      </c>
      <c r="B270" s="867" t="str">
        <f t="shared" ca="1" si="36"/>
        <v>M32</v>
      </c>
      <c r="C270" s="867" t="str">
        <f t="shared" ca="1" si="30"/>
        <v>M</v>
      </c>
      <c r="D270" s="1480" t="s">
        <v>1372</v>
      </c>
      <c r="E270" s="867" t="s">
        <v>1373</v>
      </c>
      <c r="F270" s="1480"/>
      <c r="G270" s="1480"/>
      <c r="H270" s="1480"/>
      <c r="I270" s="1427" t="str">
        <f t="shared" si="34"/>
        <v>Secondary or Internal Customer</v>
      </c>
      <c r="J270" s="1480" t="str">
        <f>IF(M270&lt;&gt;"",Q$1&amp;M270,"")</f>
        <v>F237</v>
      </c>
      <c r="K270" s="1480" t="str">
        <f t="shared" si="35"/>
        <v>Required Info to Submit</v>
      </c>
      <c r="L270" s="904" t="s">
        <v>1190</v>
      </c>
      <c r="M270" s="1480">
        <v>237</v>
      </c>
      <c r="N270" s="1480"/>
      <c r="O270" s="1477"/>
      <c r="P270" s="1477"/>
      <c r="Q270" s="1477"/>
      <c r="R270" s="1477"/>
      <c r="S270" s="1477"/>
      <c r="T270" s="1477"/>
      <c r="U270" s="1477"/>
      <c r="V270" s="1477"/>
      <c r="W270" s="1477"/>
      <c r="X270" s="1477"/>
      <c r="Y270" s="1477"/>
      <c r="Z270" s="1477"/>
    </row>
    <row r="271" spans="1:26" hidden="1" x14ac:dyDescent="0.25">
      <c r="A271" s="927" t="s">
        <v>1191</v>
      </c>
      <c r="B271" s="867" t="str">
        <f t="shared" ca="1" si="36"/>
        <v>N32</v>
      </c>
      <c r="C271" s="867" t="str">
        <f t="shared" ca="1" si="30"/>
        <v>N</v>
      </c>
      <c r="D271" s="1480" t="s">
        <v>1372</v>
      </c>
      <c r="E271" s="867" t="s">
        <v>1373</v>
      </c>
      <c r="F271" s="1480"/>
      <c r="G271" s="1480"/>
      <c r="H271" s="1480"/>
      <c r="I271" s="1427" t="str">
        <f t="shared" si="34"/>
        <v>Fuel Surcharge Applied</v>
      </c>
      <c r="J271" s="1480" t="str">
        <f>IF(M271&lt;&gt;"",Q$1&amp;M271,"")</f>
        <v>F238</v>
      </c>
      <c r="K271" s="1480" t="str">
        <f t="shared" si="35"/>
        <v>Required Info to Submit</v>
      </c>
      <c r="L271" s="904" t="s">
        <v>1382</v>
      </c>
      <c r="M271" s="1480">
        <v>238</v>
      </c>
      <c r="N271" s="1480"/>
      <c r="O271" s="1477"/>
      <c r="P271" s="1477"/>
      <c r="Q271" s="1477"/>
      <c r="R271" s="1477"/>
      <c r="S271" s="1477"/>
      <c r="T271" s="1477"/>
      <c r="U271" s="1477"/>
      <c r="V271" s="1477"/>
      <c r="W271" s="1477"/>
      <c r="X271" s="1477"/>
      <c r="Y271" s="1477"/>
      <c r="Z271" s="1477"/>
    </row>
    <row r="272" spans="1:26" hidden="1" x14ac:dyDescent="0.25">
      <c r="A272" s="927" t="s">
        <v>1307</v>
      </c>
      <c r="B272" s="867" t="str">
        <f t="shared" ca="1" si="36"/>
        <v>O32</v>
      </c>
      <c r="C272" s="867" t="str">
        <f t="shared" ca="1" si="30"/>
        <v>O</v>
      </c>
      <c r="D272" s="1480" t="s">
        <v>1372</v>
      </c>
      <c r="E272" s="867" t="s">
        <v>1373</v>
      </c>
      <c r="F272" s="1480"/>
      <c r="G272" s="1480"/>
      <c r="H272" s="1480"/>
      <c r="I272" s="1427" t="str">
        <f t="shared" si="34"/>
        <v>Minimum Delivery Charge Applied Flag</v>
      </c>
      <c r="J272" s="1480" t="str">
        <f>IF(M272&lt;&gt;"",Q$1&amp;M272,"")</f>
        <v>F239</v>
      </c>
      <c r="K272" s="1480" t="str">
        <f t="shared" si="35"/>
        <v>Required Info to Submit</v>
      </c>
      <c r="L272" s="904" t="s">
        <v>1307</v>
      </c>
      <c r="M272" s="1480">
        <v>239</v>
      </c>
      <c r="N272" s="1480"/>
      <c r="O272" s="1477"/>
      <c r="P272" s="1477"/>
      <c r="Q272" s="1477"/>
      <c r="R272" s="1477"/>
      <c r="S272" s="1477"/>
      <c r="T272" s="1477"/>
      <c r="U272" s="1477"/>
      <c r="V272" s="1477"/>
      <c r="W272" s="1477"/>
      <c r="X272" s="1477"/>
      <c r="Y272" s="1477"/>
      <c r="Z272" s="1477"/>
    </row>
    <row r="273" spans="1:26" hidden="1" x14ac:dyDescent="0.25">
      <c r="A273" s="927" t="s">
        <v>770</v>
      </c>
      <c r="B273" s="867" t="str">
        <f t="shared" ca="1" si="36"/>
        <v>G32</v>
      </c>
      <c r="C273" s="867" t="str">
        <f t="shared" ca="1" si="30"/>
        <v>G</v>
      </c>
      <c r="D273" s="1480" t="s">
        <v>1372</v>
      </c>
      <c r="E273" s="867" t="s">
        <v>1373</v>
      </c>
      <c r="F273" s="1480"/>
      <c r="G273" s="1480"/>
      <c r="H273" s="1480"/>
      <c r="I273" s="1427" t="str">
        <f t="shared" si="34"/>
        <v>Address</v>
      </c>
      <c r="J273" s="1480" t="str">
        <f>IF(P266="",Q$1&amp;M273,"")</f>
        <v>F240</v>
      </c>
      <c r="K273" s="1480" t="str">
        <f t="shared" si="35"/>
        <v>Required Info to Submit</v>
      </c>
      <c r="L273" s="904" t="s">
        <v>770</v>
      </c>
      <c r="M273" s="1480">
        <v>240</v>
      </c>
      <c r="N273" s="1480"/>
      <c r="O273" s="1477"/>
      <c r="P273" s="1477"/>
      <c r="Q273" s="1477"/>
      <c r="R273" s="1477"/>
      <c r="S273" s="1477"/>
      <c r="T273" s="1477"/>
      <c r="U273" s="1477"/>
      <c r="V273" s="1477"/>
      <c r="W273" s="1477"/>
      <c r="X273" s="1477"/>
      <c r="Y273" s="1477"/>
      <c r="Z273" s="1477"/>
    </row>
    <row r="274" spans="1:26" hidden="1" x14ac:dyDescent="0.25">
      <c r="A274" s="927" t="s">
        <v>771</v>
      </c>
      <c r="B274" s="867" t="str">
        <f t="shared" ca="1" si="36"/>
        <v>H32</v>
      </c>
      <c r="C274" s="867" t="str">
        <f t="shared" ca="1" si="30"/>
        <v>H</v>
      </c>
      <c r="D274" s="1480" t="s">
        <v>1372</v>
      </c>
      <c r="E274" s="867" t="s">
        <v>1373</v>
      </c>
      <c r="F274" s="1480"/>
      <c r="G274" s="1480"/>
      <c r="H274" s="1480"/>
      <c r="I274" s="1427" t="str">
        <f t="shared" si="34"/>
        <v>City</v>
      </c>
      <c r="J274" s="1480" t="str">
        <f>IF(P266="",Q$1&amp;M274,"")</f>
        <v>F241</v>
      </c>
      <c r="K274" s="1480" t="str">
        <f t="shared" si="35"/>
        <v>Required Info to Submit</v>
      </c>
      <c r="L274" s="904" t="s">
        <v>771</v>
      </c>
      <c r="M274" s="1480">
        <v>241</v>
      </c>
      <c r="N274" s="1480"/>
      <c r="O274" s="1477"/>
      <c r="P274" s="1477"/>
      <c r="Q274" s="1477"/>
      <c r="R274" s="1477"/>
      <c r="S274" s="1477"/>
      <c r="T274" s="1477"/>
      <c r="U274" s="1477"/>
      <c r="V274" s="1477"/>
      <c r="W274" s="1477"/>
      <c r="X274" s="1477"/>
      <c r="Y274" s="1477"/>
      <c r="Z274" s="1477"/>
    </row>
    <row r="275" spans="1:26" hidden="1" x14ac:dyDescent="0.25">
      <c r="A275" s="927" t="s">
        <v>772</v>
      </c>
      <c r="B275" s="867" t="str">
        <f t="shared" ca="1" si="36"/>
        <v>I32</v>
      </c>
      <c r="C275" s="867" t="str">
        <f t="shared" ca="1" si="30"/>
        <v>I</v>
      </c>
      <c r="D275" s="1480" t="s">
        <v>1372</v>
      </c>
      <c r="E275" s="867" t="s">
        <v>1373</v>
      </c>
      <c r="F275" s="1480"/>
      <c r="G275" s="1480"/>
      <c r="H275" s="1480"/>
      <c r="I275" s="1427" t="str">
        <f t="shared" si="34"/>
        <v>State</v>
      </c>
      <c r="J275" s="1480" t="str">
        <f>IF(P266="",Q$1&amp;M275,"")</f>
        <v>F242</v>
      </c>
      <c r="K275" s="1480" t="str">
        <f t="shared" si="35"/>
        <v>Required Info to Submit</v>
      </c>
      <c r="L275" s="904" t="s">
        <v>772</v>
      </c>
      <c r="M275" s="1480">
        <v>242</v>
      </c>
      <c r="N275" s="1480"/>
      <c r="O275" s="1477"/>
      <c r="P275" s="1477"/>
      <c r="Q275" s="1477"/>
      <c r="R275" s="1477"/>
      <c r="S275" s="1477"/>
      <c r="T275" s="1477"/>
      <c r="U275" s="1477"/>
      <c r="V275" s="1477"/>
      <c r="W275" s="1477"/>
      <c r="X275" s="1477"/>
      <c r="Y275" s="1477"/>
      <c r="Z275" s="1477"/>
    </row>
    <row r="276" spans="1:26" hidden="1" x14ac:dyDescent="0.25">
      <c r="A276" s="927" t="s">
        <v>204</v>
      </c>
      <c r="B276" s="867" t="str">
        <f t="shared" ca="1" si="36"/>
        <v>J32</v>
      </c>
      <c r="C276" s="867" t="str">
        <f t="shared" ca="1" si="30"/>
        <v>J</v>
      </c>
      <c r="D276" s="1480" t="s">
        <v>1372</v>
      </c>
      <c r="E276" s="867" t="s">
        <v>1373</v>
      </c>
      <c r="F276" s="1480"/>
      <c r="G276" s="1480"/>
      <c r="H276" s="1480"/>
      <c r="I276" s="1427" t="str">
        <f t="shared" si="34"/>
        <v>Zip Code</v>
      </c>
      <c r="J276" s="1480" t="str">
        <f>IF(P266="",Q$1&amp;M276,"")</f>
        <v>F243</v>
      </c>
      <c r="K276" s="1480" t="str">
        <f t="shared" si="35"/>
        <v>Required Info to Submit</v>
      </c>
      <c r="L276" s="904" t="s">
        <v>204</v>
      </c>
      <c r="M276" s="1480">
        <v>243</v>
      </c>
      <c r="N276" s="1480"/>
      <c r="O276" s="1477"/>
      <c r="P276" s="1477"/>
      <c r="Q276" s="1477"/>
      <c r="R276" s="1477"/>
      <c r="S276" s="1477"/>
      <c r="T276" s="1477"/>
      <c r="U276" s="1477"/>
      <c r="V276" s="1477"/>
      <c r="W276" s="1477"/>
      <c r="X276" s="1477"/>
      <c r="Y276" s="1477"/>
      <c r="Z276" s="1477"/>
    </row>
    <row r="277" spans="1:26" hidden="1"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80"/>
      <c r="H277" s="1480"/>
      <c r="I277" s="1427" t="str">
        <f t="shared" si="34"/>
        <v xml:space="preserve">Increase Investment Spend: </v>
      </c>
      <c r="J277" s="1480" t="str">
        <f t="shared" ref="J277:J325" si="37">IF(M277&lt;&gt;"",Q$1&amp;M277,"")</f>
        <v>F521</v>
      </c>
      <c r="K277" s="1480" t="str">
        <f t="shared" si="35"/>
        <v>Tracking &amp; Profitability</v>
      </c>
      <c r="L277" s="923" t="s">
        <v>1481</v>
      </c>
      <c r="M277" s="1480">
        <v>521</v>
      </c>
      <c r="N277" s="1480"/>
      <c r="O277" s="1477"/>
      <c r="P277" s="1477"/>
      <c r="Q277" s="1477"/>
      <c r="R277" s="1477"/>
      <c r="S277" s="1477"/>
      <c r="T277" s="1477"/>
      <c r="U277" s="1477"/>
      <c r="V277" s="1477"/>
      <c r="W277" s="1477"/>
      <c r="X277" s="1477"/>
      <c r="Y277" s="1477"/>
      <c r="Z277" s="1477"/>
    </row>
    <row r="278" spans="1:26" hidden="1"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80"/>
      <c r="G278" s="1480"/>
      <c r="H278" s="1480"/>
      <c r="I278" s="1427" t="str">
        <f t="shared" si="34"/>
        <v/>
      </c>
      <c r="J278" s="1480"/>
      <c r="K278" s="1480" t="str">
        <f t="shared" si="35"/>
        <v/>
      </c>
      <c r="L278" s="907" t="s">
        <v>1299</v>
      </c>
      <c r="M278" s="1480">
        <v>247</v>
      </c>
      <c r="N278" s="1480"/>
      <c r="O278" s="1477"/>
      <c r="P278" s="1477"/>
      <c r="Q278" s="1477"/>
      <c r="R278" s="1477"/>
      <c r="S278" s="1477"/>
      <c r="T278" s="1477"/>
      <c r="U278" s="1477"/>
      <c r="V278" s="1477"/>
      <c r="W278" s="1477"/>
      <c r="X278" s="1477"/>
      <c r="Y278" s="1477"/>
      <c r="Z278" s="1477"/>
    </row>
    <row r="279" spans="1:26" hidden="1"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80"/>
      <c r="G279" s="1480"/>
      <c r="H279" s="1480"/>
      <c r="I279" s="1427" t="str">
        <f t="shared" si="34"/>
        <v/>
      </c>
      <c r="J279" s="1480"/>
      <c r="K279" s="1480" t="str">
        <f t="shared" si="35"/>
        <v/>
      </c>
      <c r="L279" s="907" t="s">
        <v>253</v>
      </c>
      <c r="M279" s="1480">
        <v>248</v>
      </c>
      <c r="N279" s="1480"/>
      <c r="O279" s="1477"/>
      <c r="P279" s="1477"/>
      <c r="Q279" s="1477"/>
      <c r="R279" s="1477"/>
      <c r="S279" s="1477"/>
      <c r="T279" s="1477"/>
      <c r="U279" s="1477"/>
      <c r="V279" s="1477"/>
      <c r="W279" s="1477"/>
      <c r="X279" s="1477"/>
      <c r="Y279" s="1477"/>
      <c r="Z279" s="1477"/>
    </row>
    <row r="280" spans="1:26" hidden="1"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80"/>
      <c r="G280" s="1480"/>
      <c r="H280" s="1480"/>
      <c r="I280" s="1427" t="str">
        <f t="shared" si="34"/>
        <v/>
      </c>
      <c r="J280" s="1480"/>
      <c r="K280" s="1480" t="str">
        <f t="shared" si="35"/>
        <v/>
      </c>
      <c r="L280" s="907" t="s">
        <v>1256</v>
      </c>
      <c r="M280" s="1480">
        <v>249</v>
      </c>
      <c r="N280" s="1480"/>
      <c r="O280" s="1477"/>
      <c r="P280" s="1477"/>
      <c r="Q280" s="1477"/>
      <c r="R280" s="1477"/>
      <c r="S280" s="1477"/>
      <c r="T280" s="1477"/>
      <c r="U280" s="1477"/>
      <c r="V280" s="1477"/>
      <c r="W280" s="1477"/>
      <c r="X280" s="1477"/>
      <c r="Y280" s="1477"/>
      <c r="Z280" s="1477"/>
    </row>
    <row r="281" spans="1:26" hidden="1"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80"/>
      <c r="G281" s="1480"/>
      <c r="H281" s="1480"/>
      <c r="I281" s="1427" t="str">
        <f t="shared" si="34"/>
        <v/>
      </c>
      <c r="J281" s="1480"/>
      <c r="K281" s="1480" t="str">
        <f t="shared" si="35"/>
        <v/>
      </c>
      <c r="L281" s="907" t="s">
        <v>225</v>
      </c>
      <c r="M281" s="1480">
        <v>250</v>
      </c>
      <c r="N281" s="1480"/>
      <c r="O281" s="1477"/>
      <c r="P281" s="1477"/>
      <c r="Q281" s="1477"/>
      <c r="R281" s="1477"/>
      <c r="S281" s="1477"/>
      <c r="T281" s="1477"/>
      <c r="U281" s="1477"/>
      <c r="V281" s="1477"/>
      <c r="W281" s="1477"/>
      <c r="X281" s="1477"/>
      <c r="Y281" s="1477"/>
      <c r="Z281" s="1477"/>
    </row>
    <row r="282" spans="1:26" hidden="1" x14ac:dyDescent="0.25">
      <c r="A282" s="930" t="s">
        <v>465</v>
      </c>
      <c r="B282" s="1427" t="str">
        <f ca="1">_xlfn.CONCAT(IFERROR(SUBSTITUTE(ADDRESS(1,MATCH(A282,INDIRECT("'"&amp;E282&amp;"'"&amp;"!A9:Z9"),0),4),1,""),""),10)</f>
        <v>E10</v>
      </c>
      <c r="C282" s="1427" t="str">
        <f ca="1">_xlfn.CONCAT(IFERROR(SUBSTITUTE(ADDRESS(1,MATCH(A282,INDIRECT("'"&amp;E282&amp;"'"&amp;"!A9:Z9"),0),4),1,""),""))</f>
        <v>E</v>
      </c>
      <c r="D282" s="1480" t="s">
        <v>1372</v>
      </c>
      <c r="E282" s="867" t="s">
        <v>208</v>
      </c>
      <c r="F282" s="1480"/>
      <c r="G282" s="1480"/>
      <c r="H282" s="1480"/>
      <c r="I282" s="1427" t="str">
        <f t="shared" si="34"/>
        <v>Exclude PIM Classes Below</v>
      </c>
      <c r="J282" s="1480" t="str">
        <f t="shared" si="37"/>
        <v>F251</v>
      </c>
      <c r="K282" s="1480" t="str">
        <f t="shared" si="35"/>
        <v>PIM Model</v>
      </c>
      <c r="L282" s="907" t="s">
        <v>465</v>
      </c>
      <c r="M282" s="1480">
        <v>251</v>
      </c>
      <c r="N282" s="1480"/>
      <c r="O282" s="1477"/>
      <c r="P282" s="1477"/>
      <c r="Q282" s="1477"/>
      <c r="R282" s="1477"/>
      <c r="S282" s="1477"/>
      <c r="T282" s="1477"/>
      <c r="U282" s="1477"/>
      <c r="V282" s="1477"/>
      <c r="W282" s="1477"/>
      <c r="X282" s="1477"/>
      <c r="Y282" s="1477"/>
      <c r="Z282" s="1477"/>
    </row>
    <row r="283" spans="1:26" hidden="1"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80"/>
      <c r="G283" s="1480"/>
      <c r="H283" s="1480"/>
      <c r="I283" s="1427" t="str">
        <f t="shared" si="34"/>
        <v>Special Pricing Code</v>
      </c>
      <c r="J283" s="1480" t="str">
        <f t="shared" si="37"/>
        <v>F252</v>
      </c>
      <c r="K283" s="1480" t="str">
        <f t="shared" si="35"/>
        <v>Pricing Schedule</v>
      </c>
      <c r="L283" s="907" t="s">
        <v>1292</v>
      </c>
      <c r="M283" s="1480">
        <v>252</v>
      </c>
      <c r="N283" s="1480"/>
      <c r="O283" s="1477"/>
      <c r="P283" s="1477"/>
      <c r="Q283" s="1477"/>
      <c r="R283" s="1477"/>
      <c r="S283" s="1477"/>
      <c r="T283" s="1477"/>
      <c r="U283" s="1477"/>
      <c r="V283" s="1477"/>
      <c r="W283" s="1477"/>
      <c r="X283" s="1477"/>
      <c r="Y283" s="1477"/>
      <c r="Z283" s="1477"/>
    </row>
    <row r="284" spans="1:26" hidden="1"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80"/>
      <c r="H284" s="1480"/>
      <c r="I284" s="1427" t="str">
        <f t="shared" si="34"/>
        <v>EB Markup Amt</v>
      </c>
      <c r="J284" s="1480" t="str">
        <f t="shared" si="37"/>
        <v>F253</v>
      </c>
      <c r="K284" s="1480" t="str">
        <f t="shared" si="35"/>
        <v>Pricing Schedule</v>
      </c>
      <c r="L284" s="907" t="s">
        <v>1294</v>
      </c>
      <c r="M284" s="1480">
        <v>253</v>
      </c>
      <c r="N284" s="1480"/>
      <c r="O284" s="1477"/>
      <c r="P284" s="1477"/>
      <c r="Q284" s="1477"/>
      <c r="R284" s="1477"/>
      <c r="S284" s="1477"/>
      <c r="T284" s="1477"/>
      <c r="U284" s="1477"/>
      <c r="V284" s="1477"/>
      <c r="W284" s="1477"/>
      <c r="X284" s="1477"/>
      <c r="Y284" s="1477"/>
      <c r="Z284" s="1477"/>
    </row>
    <row r="285" spans="1:26" hidden="1"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80"/>
      <c r="H285" s="1480"/>
      <c r="I285" s="1427" t="str">
        <f t="shared" si="34"/>
        <v>Min CS Markup Override Flag</v>
      </c>
      <c r="J285" s="1480" t="str">
        <f t="shared" si="37"/>
        <v>F254</v>
      </c>
      <c r="K285" s="1480" t="str">
        <f t="shared" si="35"/>
        <v>Pricing Schedule</v>
      </c>
      <c r="L285" s="907" t="s">
        <v>1295</v>
      </c>
      <c r="M285" s="1480">
        <v>254</v>
      </c>
      <c r="N285" s="1480"/>
      <c r="O285" s="1477"/>
      <c r="P285" s="1477"/>
      <c r="Q285" s="1477"/>
      <c r="R285" s="1477"/>
      <c r="S285" s="1477"/>
      <c r="T285" s="1477"/>
      <c r="U285" s="1477"/>
      <c r="V285" s="1477"/>
      <c r="W285" s="1477"/>
      <c r="X285" s="1477"/>
      <c r="Y285" s="1477"/>
      <c r="Z285" s="1477"/>
    </row>
    <row r="286" spans="1:26" hidden="1"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80"/>
      <c r="H286" s="1480"/>
      <c r="I286" s="1427" t="str">
        <f t="shared" si="34"/>
        <v>Min CS Markup Amt</v>
      </c>
      <c r="J286" s="1480" t="str">
        <f t="shared" si="37"/>
        <v>F255</v>
      </c>
      <c r="K286" s="1480" t="str">
        <f t="shared" si="35"/>
        <v>Pricing Schedule</v>
      </c>
      <c r="L286" s="907" t="s">
        <v>1296</v>
      </c>
      <c r="M286" s="1480">
        <v>255</v>
      </c>
      <c r="N286" s="1480"/>
      <c r="O286" s="1477"/>
      <c r="P286" s="1477"/>
      <c r="Q286" s="1477"/>
      <c r="R286" s="1477"/>
      <c r="S286" s="1477"/>
      <c r="T286" s="1477"/>
      <c r="U286" s="1477"/>
      <c r="V286" s="1477"/>
      <c r="W286" s="1477"/>
      <c r="X286" s="1477"/>
      <c r="Y286" s="1477"/>
      <c r="Z286" s="1477"/>
    </row>
    <row r="287" spans="1:26" hidden="1"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80"/>
      <c r="H287" s="1480"/>
      <c r="I287" s="1427" t="str">
        <f t="shared" si="34"/>
        <v>Split Case Fee Override Flag</v>
      </c>
      <c r="J287" s="1480" t="str">
        <f t="shared" si="37"/>
        <v>F256</v>
      </c>
      <c r="K287" s="1480" t="str">
        <f t="shared" si="35"/>
        <v>Pricing Schedule</v>
      </c>
      <c r="L287" s="907" t="s">
        <v>1297</v>
      </c>
      <c r="M287" s="1480">
        <v>256</v>
      </c>
      <c r="N287" s="1480"/>
      <c r="O287" s="1477"/>
      <c r="P287" s="1477"/>
      <c r="Q287" s="1477"/>
      <c r="R287" s="1477"/>
      <c r="S287" s="1477"/>
      <c r="T287" s="1477"/>
      <c r="U287" s="1477"/>
      <c r="V287" s="1477"/>
      <c r="W287" s="1477"/>
      <c r="X287" s="1477"/>
      <c r="Y287" s="1477"/>
      <c r="Z287" s="1477"/>
    </row>
    <row r="288" spans="1:26" hidden="1"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80"/>
      <c r="H288" s="1480"/>
      <c r="I288" s="1427" t="str">
        <f t="shared" si="34"/>
        <v>Split Case Fee</v>
      </c>
      <c r="J288" s="1480" t="str">
        <f t="shared" si="37"/>
        <v>F257</v>
      </c>
      <c r="K288" s="1480" t="str">
        <f t="shared" si="35"/>
        <v>Pricing Schedule</v>
      </c>
      <c r="L288" s="907" t="s">
        <v>1298</v>
      </c>
      <c r="M288" s="1480">
        <v>257</v>
      </c>
      <c r="N288" s="1480"/>
      <c r="O288" s="1477"/>
      <c r="P288" s="1477"/>
      <c r="Q288" s="1477"/>
      <c r="R288" s="1477"/>
      <c r="S288" s="1477"/>
      <c r="T288" s="1477"/>
      <c r="U288" s="1477"/>
      <c r="V288" s="1477"/>
      <c r="W288" s="1477"/>
      <c r="X288" s="1477"/>
      <c r="Y288" s="1477"/>
      <c r="Z288" s="1477"/>
    </row>
    <row r="289" spans="1:26" hidden="1"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80"/>
      <c r="H289" s="1480"/>
      <c r="I289" s="1427" t="str">
        <f t="shared" si="34"/>
        <v>Split Case Per</v>
      </c>
      <c r="J289" s="1480" t="str">
        <f t="shared" si="37"/>
        <v>F258</v>
      </c>
      <c r="K289" s="1480" t="str">
        <f t="shared" si="35"/>
        <v>Pricing Schedule</v>
      </c>
      <c r="L289" s="907" t="s">
        <v>1238</v>
      </c>
      <c r="M289" s="1480">
        <v>258</v>
      </c>
      <c r="N289" s="1480"/>
      <c r="O289" s="1477"/>
      <c r="P289" s="1477"/>
      <c r="Q289" s="1477"/>
      <c r="R289" s="1477"/>
      <c r="S289" s="1477"/>
      <c r="T289" s="1477"/>
      <c r="U289" s="1477"/>
      <c r="V289" s="1477"/>
      <c r="W289" s="1477"/>
      <c r="X289" s="1477"/>
      <c r="Y289" s="1477"/>
      <c r="Z289" s="1477"/>
    </row>
    <row r="290" spans="1:26" hidden="1"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80"/>
      <c r="G290" s="1480"/>
      <c r="H290" s="1480"/>
      <c r="I290" s="1427" t="str">
        <f t="shared" si="34"/>
        <v/>
      </c>
      <c r="J290" s="1480"/>
      <c r="K290" s="1480" t="str">
        <f t="shared" si="35"/>
        <v/>
      </c>
      <c r="L290" s="907" t="s">
        <v>1299</v>
      </c>
      <c r="M290" s="1480">
        <v>259</v>
      </c>
      <c r="N290" s="1480"/>
      <c r="O290" s="1477"/>
      <c r="P290" s="1477"/>
      <c r="Q290" s="1477"/>
      <c r="R290" s="1477"/>
      <c r="S290" s="1477"/>
      <c r="T290" s="1477"/>
      <c r="U290" s="1477"/>
      <c r="V290" s="1477"/>
      <c r="W290" s="1477"/>
      <c r="X290" s="1477"/>
      <c r="Y290" s="1477"/>
      <c r="Z290" s="1477"/>
    </row>
    <row r="291" spans="1:26" hidden="1"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80"/>
      <c r="G291" s="1480"/>
      <c r="H291" s="1480"/>
      <c r="I291" s="1427" t="str">
        <f t="shared" si="34"/>
        <v/>
      </c>
      <c r="J291" s="1480"/>
      <c r="K291" s="1480" t="str">
        <f t="shared" si="35"/>
        <v/>
      </c>
      <c r="L291" s="907" t="s">
        <v>253</v>
      </c>
      <c r="M291" s="1480">
        <v>260</v>
      </c>
      <c r="N291" s="1480"/>
      <c r="O291" s="1477"/>
      <c r="P291" s="1477"/>
      <c r="Q291" s="1477"/>
      <c r="R291" s="1477"/>
      <c r="S291" s="1477"/>
      <c r="T291" s="1477"/>
      <c r="U291" s="1477"/>
      <c r="V291" s="1477"/>
      <c r="W291" s="1477"/>
      <c r="X291" s="1477"/>
      <c r="Y291" s="1477"/>
      <c r="Z291" s="1477"/>
    </row>
    <row r="292" spans="1:26" hidden="1"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80"/>
      <c r="G292" s="1480"/>
      <c r="H292" s="1480"/>
      <c r="I292" s="1427" t="str">
        <f t="shared" si="34"/>
        <v/>
      </c>
      <c r="J292" s="1480"/>
      <c r="K292" s="1480" t="str">
        <f t="shared" si="35"/>
        <v/>
      </c>
      <c r="L292" s="907" t="s">
        <v>1256</v>
      </c>
      <c r="M292" s="1480">
        <v>261</v>
      </c>
      <c r="N292" s="1480"/>
      <c r="O292" s="1477"/>
      <c r="P292" s="1477"/>
      <c r="Q292" s="1477"/>
      <c r="R292" s="1477"/>
      <c r="S292" s="1477"/>
      <c r="T292" s="1477"/>
      <c r="U292" s="1477"/>
      <c r="V292" s="1477"/>
      <c r="W292" s="1477"/>
      <c r="X292" s="1477"/>
      <c r="Y292" s="1477"/>
      <c r="Z292" s="1477"/>
    </row>
    <row r="293" spans="1:26" hidden="1"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80"/>
      <c r="G293" s="1480"/>
      <c r="H293" s="1480"/>
      <c r="I293" s="1427" t="str">
        <f t="shared" si="34"/>
        <v/>
      </c>
      <c r="J293" s="1480"/>
      <c r="K293" s="1480" t="str">
        <f t="shared" si="35"/>
        <v/>
      </c>
      <c r="L293" s="907" t="s">
        <v>225</v>
      </c>
      <c r="M293" s="1480">
        <v>262</v>
      </c>
      <c r="N293" s="1480"/>
      <c r="O293" s="1477"/>
      <c r="P293" s="1477"/>
      <c r="Q293" s="1477"/>
      <c r="R293" s="1477"/>
      <c r="S293" s="1477"/>
      <c r="T293" s="1477"/>
      <c r="U293" s="1477"/>
      <c r="V293" s="1477"/>
      <c r="W293" s="1477"/>
      <c r="X293" s="1477"/>
      <c r="Y293" s="1477"/>
      <c r="Z293" s="1477"/>
    </row>
    <row r="294" spans="1:26" hidden="1" x14ac:dyDescent="0.25">
      <c r="A294" s="933" t="s">
        <v>465</v>
      </c>
      <c r="B294" s="1427" t="str">
        <f ca="1">_xlfn.CONCAT(IFERROR(SUBSTITUTE(ADDRESS(1,MATCH(A294,INDIRECT("'"&amp;E294&amp;"'"&amp;"!A9:Z9"),0),4),1,""),""),11)</f>
        <v>E11</v>
      </c>
      <c r="C294" s="1427" t="str">
        <f ca="1">_xlfn.CONCAT(IFERROR(SUBSTITUTE(ADDRESS(1,MATCH(A294,INDIRECT("'"&amp;E294&amp;"'"&amp;"!A9:Z9"),0),4),1,""),""))</f>
        <v>E</v>
      </c>
      <c r="D294" s="1480" t="s">
        <v>1372</v>
      </c>
      <c r="E294" s="867" t="s">
        <v>208</v>
      </c>
      <c r="F294" s="1480"/>
      <c r="G294" s="1480"/>
      <c r="H294" s="1480"/>
      <c r="I294" s="1427" t="str">
        <f t="shared" si="34"/>
        <v>Exclude PIM Classes Below</v>
      </c>
      <c r="J294" s="1480" t="str">
        <f t="shared" si="37"/>
        <v>F263</v>
      </c>
      <c r="K294" s="1480" t="str">
        <f t="shared" si="35"/>
        <v>PIM Model</v>
      </c>
      <c r="L294" s="907" t="s">
        <v>465</v>
      </c>
      <c r="M294" s="1480">
        <v>263</v>
      </c>
      <c r="N294" s="1480"/>
      <c r="O294" s="1477"/>
      <c r="P294" s="1477"/>
      <c r="Q294" s="1477"/>
      <c r="R294" s="1477"/>
      <c r="S294" s="1477"/>
      <c r="T294" s="1477"/>
      <c r="U294" s="1477"/>
      <c r="V294" s="1477"/>
      <c r="W294" s="1477"/>
      <c r="X294" s="1477"/>
      <c r="Y294" s="1477"/>
      <c r="Z294" s="1477"/>
    </row>
    <row r="295" spans="1:26" hidden="1"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80"/>
      <c r="G295" s="1480"/>
      <c r="H295" s="1480"/>
      <c r="I295" s="1427" t="str">
        <f t="shared" si="34"/>
        <v>Special Pricing Code</v>
      </c>
      <c r="J295" s="1480" t="str">
        <f t="shared" si="37"/>
        <v>F264</v>
      </c>
      <c r="K295" s="1480" t="str">
        <f t="shared" si="35"/>
        <v>Pricing Schedule</v>
      </c>
      <c r="L295" s="907" t="s">
        <v>1292</v>
      </c>
      <c r="M295" s="1480">
        <v>264</v>
      </c>
      <c r="N295" s="1480"/>
      <c r="O295" s="1477"/>
      <c r="P295" s="1477"/>
      <c r="Q295" s="1477"/>
      <c r="R295" s="1477"/>
      <c r="S295" s="1477"/>
      <c r="T295" s="1477"/>
      <c r="U295" s="1477"/>
      <c r="V295" s="1477"/>
      <c r="W295" s="1477"/>
      <c r="X295" s="1477"/>
      <c r="Y295" s="1477"/>
      <c r="Z295" s="1477"/>
    </row>
    <row r="296" spans="1:26" hidden="1"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80"/>
      <c r="H296" s="1480"/>
      <c r="I296" s="1427" t="str">
        <f t="shared" si="34"/>
        <v>EB Markup Amt</v>
      </c>
      <c r="J296" s="1480" t="str">
        <f t="shared" si="37"/>
        <v>F265</v>
      </c>
      <c r="K296" s="1480" t="str">
        <f t="shared" si="35"/>
        <v>Pricing Schedule</v>
      </c>
      <c r="L296" s="907" t="s">
        <v>1294</v>
      </c>
      <c r="M296" s="1480">
        <v>265</v>
      </c>
      <c r="N296" s="1480"/>
      <c r="O296" s="1477"/>
      <c r="P296" s="1477"/>
      <c r="Q296" s="1477"/>
      <c r="R296" s="1477"/>
      <c r="S296" s="1477"/>
      <c r="T296" s="1477"/>
      <c r="U296" s="1477"/>
      <c r="V296" s="1477"/>
      <c r="W296" s="1477"/>
      <c r="X296" s="1477"/>
      <c r="Y296" s="1477"/>
      <c r="Z296" s="1477"/>
    </row>
    <row r="297" spans="1:26" hidden="1"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80"/>
      <c r="H297" s="1480"/>
      <c r="I297" s="1427" t="str">
        <f t="shared" si="34"/>
        <v>Min CS Markup Override Flag</v>
      </c>
      <c r="J297" s="1480" t="str">
        <f t="shared" si="37"/>
        <v>F266</v>
      </c>
      <c r="K297" s="1480" t="str">
        <f t="shared" si="35"/>
        <v>Pricing Schedule</v>
      </c>
      <c r="L297" s="907" t="s">
        <v>1295</v>
      </c>
      <c r="M297" s="1480">
        <v>266</v>
      </c>
      <c r="N297" s="1480"/>
      <c r="O297" s="1477"/>
      <c r="P297" s="1477"/>
      <c r="Q297" s="1477"/>
      <c r="R297" s="1477"/>
      <c r="S297" s="1477"/>
      <c r="T297" s="1477"/>
      <c r="U297" s="1477"/>
      <c r="V297" s="1477"/>
      <c r="W297" s="1477"/>
      <c r="X297" s="1477"/>
      <c r="Y297" s="1477"/>
      <c r="Z297" s="1477"/>
    </row>
    <row r="298" spans="1:26" hidden="1"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80"/>
      <c r="H298" s="1480"/>
      <c r="I298" s="1427" t="str">
        <f t="shared" si="34"/>
        <v>Min CS Markup Amt</v>
      </c>
      <c r="J298" s="1480" t="str">
        <f t="shared" si="37"/>
        <v>F267</v>
      </c>
      <c r="K298" s="1480" t="str">
        <f t="shared" si="35"/>
        <v>Pricing Schedule</v>
      </c>
      <c r="L298" s="907" t="s">
        <v>1296</v>
      </c>
      <c r="M298" s="1480">
        <v>267</v>
      </c>
      <c r="N298" s="1480"/>
      <c r="O298" s="1477"/>
      <c r="P298" s="1477"/>
      <c r="Q298" s="1477"/>
      <c r="R298" s="1477"/>
      <c r="S298" s="1477"/>
      <c r="T298" s="1477"/>
      <c r="U298" s="1477"/>
      <c r="V298" s="1477"/>
      <c r="W298" s="1477"/>
      <c r="X298" s="1477"/>
      <c r="Y298" s="1477"/>
      <c r="Z298" s="1477"/>
    </row>
    <row r="299" spans="1:26" hidden="1"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80"/>
      <c r="H299" s="1480"/>
      <c r="I299" s="1427" t="str">
        <f t="shared" si="34"/>
        <v>Split Case Fee Override Flag</v>
      </c>
      <c r="J299" s="1480" t="str">
        <f t="shared" si="37"/>
        <v>F268</v>
      </c>
      <c r="K299" s="1480" t="str">
        <f t="shared" si="35"/>
        <v>Pricing Schedule</v>
      </c>
      <c r="L299" s="907" t="s">
        <v>1297</v>
      </c>
      <c r="M299" s="1480">
        <v>268</v>
      </c>
      <c r="N299" s="1480"/>
      <c r="O299" s="1477"/>
      <c r="P299" s="1477"/>
      <c r="Q299" s="1477"/>
      <c r="R299" s="1477"/>
      <c r="S299" s="1477"/>
      <c r="T299" s="1477"/>
      <c r="U299" s="1477"/>
      <c r="V299" s="1477"/>
      <c r="W299" s="1477"/>
      <c r="X299" s="1477"/>
      <c r="Y299" s="1477"/>
      <c r="Z299" s="1477"/>
    </row>
    <row r="300" spans="1:26" hidden="1"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80"/>
      <c r="H300" s="1480"/>
      <c r="I300" s="1427" t="str">
        <f t="shared" si="34"/>
        <v>Split Case Fee</v>
      </c>
      <c r="J300" s="1480" t="str">
        <f t="shared" si="37"/>
        <v>F269</v>
      </c>
      <c r="K300" s="1480" t="str">
        <f t="shared" si="35"/>
        <v>Pricing Schedule</v>
      </c>
      <c r="L300" s="907" t="s">
        <v>1298</v>
      </c>
      <c r="M300" s="1480">
        <v>269</v>
      </c>
      <c r="N300" s="1480"/>
      <c r="O300" s="1477"/>
      <c r="P300" s="1477"/>
      <c r="Q300" s="1477"/>
      <c r="R300" s="1477"/>
      <c r="S300" s="1477"/>
      <c r="T300" s="1477"/>
      <c r="U300" s="1477"/>
      <c r="V300" s="1477"/>
      <c r="W300" s="1477"/>
      <c r="X300" s="1477"/>
      <c r="Y300" s="1477"/>
      <c r="Z300" s="1477"/>
    </row>
    <row r="301" spans="1:26" hidden="1"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80"/>
      <c r="H301" s="1480"/>
      <c r="I301" s="1427" t="str">
        <f t="shared" si="34"/>
        <v>Split Case Per</v>
      </c>
      <c r="J301" s="1480" t="str">
        <f t="shared" si="37"/>
        <v>F270</v>
      </c>
      <c r="K301" s="1480" t="str">
        <f t="shared" si="35"/>
        <v>Pricing Schedule</v>
      </c>
      <c r="L301" s="907" t="s">
        <v>1238</v>
      </c>
      <c r="M301" s="1480">
        <v>270</v>
      </c>
      <c r="N301" s="1480"/>
      <c r="O301" s="1477"/>
      <c r="P301" s="1477"/>
      <c r="Q301" s="1477"/>
      <c r="R301" s="1477"/>
      <c r="S301" s="1477"/>
      <c r="T301" s="1477"/>
      <c r="U301" s="1477"/>
      <c r="V301" s="1477"/>
      <c r="W301" s="1477"/>
      <c r="X301" s="1477"/>
      <c r="Y301" s="1477"/>
      <c r="Z301" s="1477"/>
    </row>
    <row r="302" spans="1:26" hidden="1"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80"/>
      <c r="G302" s="1480"/>
      <c r="H302" s="1480"/>
      <c r="I302" s="1427" t="str">
        <f t="shared" si="34"/>
        <v/>
      </c>
      <c r="J302" s="1480"/>
      <c r="K302" s="1480" t="str">
        <f t="shared" si="35"/>
        <v/>
      </c>
      <c r="L302" s="907" t="s">
        <v>1299</v>
      </c>
      <c r="M302" s="1480">
        <v>271</v>
      </c>
      <c r="N302" s="1480"/>
      <c r="O302" s="1477"/>
      <c r="P302" s="1477"/>
      <c r="Q302" s="1477"/>
      <c r="R302" s="1477"/>
      <c r="S302" s="1477"/>
      <c r="T302" s="1477"/>
      <c r="U302" s="1477"/>
      <c r="V302" s="1477"/>
      <c r="W302" s="1477"/>
      <c r="X302" s="1477"/>
      <c r="Y302" s="1477"/>
      <c r="Z302" s="1477"/>
    </row>
    <row r="303" spans="1:26" hidden="1"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80"/>
      <c r="G303" s="1480"/>
      <c r="H303" s="1480"/>
      <c r="I303" s="1427" t="str">
        <f t="shared" si="34"/>
        <v/>
      </c>
      <c r="J303" s="1480"/>
      <c r="K303" s="1480" t="str">
        <f t="shared" si="35"/>
        <v/>
      </c>
      <c r="L303" s="907" t="s">
        <v>253</v>
      </c>
      <c r="M303" s="1480">
        <v>272</v>
      </c>
      <c r="N303" s="1480"/>
      <c r="O303" s="1477"/>
      <c r="P303" s="1477"/>
      <c r="Q303" s="1477"/>
      <c r="R303" s="1477"/>
      <c r="S303" s="1477"/>
      <c r="T303" s="1477"/>
      <c r="U303" s="1477"/>
      <c r="V303" s="1477"/>
      <c r="W303" s="1477"/>
      <c r="X303" s="1477"/>
      <c r="Y303" s="1477"/>
      <c r="Z303" s="1477"/>
    </row>
    <row r="304" spans="1:26" hidden="1"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80"/>
      <c r="G304" s="1480"/>
      <c r="H304" s="1480"/>
      <c r="I304" s="1427" t="str">
        <f t="shared" si="34"/>
        <v/>
      </c>
      <c r="J304" s="1480"/>
      <c r="K304" s="1480" t="str">
        <f t="shared" si="35"/>
        <v/>
      </c>
      <c r="L304" s="907" t="s">
        <v>1256</v>
      </c>
      <c r="M304" s="1480">
        <v>273</v>
      </c>
      <c r="N304" s="1480"/>
      <c r="O304" s="1477"/>
      <c r="P304" s="1477"/>
      <c r="Q304" s="1477"/>
      <c r="R304" s="1477"/>
      <c r="S304" s="1477"/>
      <c r="T304" s="1477"/>
      <c r="U304" s="1477"/>
      <c r="V304" s="1477"/>
      <c r="W304" s="1477"/>
      <c r="X304" s="1477"/>
      <c r="Y304" s="1477"/>
      <c r="Z304" s="1477"/>
    </row>
    <row r="305" spans="1:26" hidden="1"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80"/>
      <c r="G305" s="1480"/>
      <c r="H305" s="1480"/>
      <c r="I305" s="1427" t="str">
        <f t="shared" si="34"/>
        <v/>
      </c>
      <c r="J305" s="1480"/>
      <c r="K305" s="1480" t="str">
        <f t="shared" si="35"/>
        <v/>
      </c>
      <c r="L305" s="907" t="s">
        <v>225</v>
      </c>
      <c r="M305" s="1480">
        <v>274</v>
      </c>
      <c r="N305" s="1480"/>
      <c r="O305" s="1477"/>
      <c r="P305" s="1477"/>
      <c r="Q305" s="1477"/>
      <c r="R305" s="1477"/>
      <c r="S305" s="1477"/>
      <c r="T305" s="1477"/>
      <c r="U305" s="1477"/>
      <c r="V305" s="1477"/>
      <c r="W305" s="1477"/>
      <c r="X305" s="1477"/>
      <c r="Y305" s="1477"/>
      <c r="Z305" s="1477"/>
    </row>
    <row r="306" spans="1:26" hidden="1" x14ac:dyDescent="0.25">
      <c r="A306" s="930" t="s">
        <v>465</v>
      </c>
      <c r="B306" s="1427" t="str">
        <f ca="1">_xlfn.CONCAT(IFERROR(SUBSTITUTE(ADDRESS(1,MATCH(A306,INDIRECT("'"&amp;E306&amp;"'"&amp;"!A9:Z9"),0),4),1,""),""),12)</f>
        <v>E12</v>
      </c>
      <c r="C306" s="1427" t="str">
        <f ca="1">_xlfn.CONCAT(IFERROR(SUBSTITUTE(ADDRESS(1,MATCH(A306,INDIRECT("'"&amp;E306&amp;"'"&amp;"!A9:Z9"),0),4),1,""),""))</f>
        <v>E</v>
      </c>
      <c r="D306" s="1480" t="s">
        <v>1372</v>
      </c>
      <c r="E306" s="867" t="s">
        <v>208</v>
      </c>
      <c r="F306" s="1480"/>
      <c r="G306" s="1480"/>
      <c r="H306" s="1480"/>
      <c r="I306" s="1427" t="str">
        <f t="shared" si="34"/>
        <v>Exclude PIM Classes Below</v>
      </c>
      <c r="J306" s="1480" t="str">
        <f t="shared" si="37"/>
        <v>F275</v>
      </c>
      <c r="K306" s="1480" t="str">
        <f t="shared" si="35"/>
        <v>PIM Model</v>
      </c>
      <c r="L306" s="907" t="s">
        <v>465</v>
      </c>
      <c r="M306" s="1480">
        <v>275</v>
      </c>
      <c r="N306" s="1480"/>
      <c r="O306" s="1477"/>
      <c r="P306" s="1477"/>
      <c r="Q306" s="1477"/>
      <c r="R306" s="1477"/>
      <c r="S306" s="1477"/>
      <c r="T306" s="1477"/>
      <c r="U306" s="1477"/>
      <c r="V306" s="1477"/>
      <c r="W306" s="1477"/>
      <c r="X306" s="1477"/>
      <c r="Y306" s="1477"/>
      <c r="Z306" s="1477"/>
    </row>
    <row r="307" spans="1:26" hidden="1"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80"/>
      <c r="G307" s="1480"/>
      <c r="H307" s="1480"/>
      <c r="I307" s="1427" t="str">
        <f t="shared" si="34"/>
        <v>Special Pricing Code</v>
      </c>
      <c r="J307" s="1480" t="str">
        <f t="shared" si="37"/>
        <v>F276</v>
      </c>
      <c r="K307" s="1480" t="str">
        <f t="shared" si="35"/>
        <v>Pricing Schedule</v>
      </c>
      <c r="L307" s="907" t="s">
        <v>1292</v>
      </c>
      <c r="M307" s="1480">
        <v>276</v>
      </c>
      <c r="N307" s="1480"/>
      <c r="O307" s="1477"/>
      <c r="P307" s="1477"/>
      <c r="Q307" s="1477"/>
      <c r="R307" s="1477"/>
      <c r="S307" s="1477"/>
      <c r="T307" s="1477"/>
      <c r="U307" s="1477"/>
      <c r="V307" s="1477"/>
      <c r="W307" s="1477"/>
      <c r="X307" s="1477"/>
      <c r="Y307" s="1477"/>
      <c r="Z307" s="1477"/>
    </row>
    <row r="308" spans="1:26" hidden="1"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80"/>
      <c r="H308" s="1480"/>
      <c r="I308" s="1427" t="str">
        <f t="shared" si="34"/>
        <v>EB Markup Amt</v>
      </c>
      <c r="J308" s="1480" t="str">
        <f t="shared" si="37"/>
        <v>F277</v>
      </c>
      <c r="K308" s="1480" t="str">
        <f t="shared" si="35"/>
        <v>Pricing Schedule</v>
      </c>
      <c r="L308" s="907" t="s">
        <v>1294</v>
      </c>
      <c r="M308" s="1480">
        <v>277</v>
      </c>
      <c r="N308" s="1480"/>
      <c r="O308" s="1477"/>
      <c r="P308" s="1477"/>
      <c r="Q308" s="1477"/>
      <c r="R308" s="1477"/>
      <c r="S308" s="1477"/>
      <c r="T308" s="1477"/>
      <c r="U308" s="1477"/>
      <c r="V308" s="1477"/>
      <c r="W308" s="1477"/>
      <c r="X308" s="1477"/>
      <c r="Y308" s="1477"/>
      <c r="Z308" s="1477"/>
    </row>
    <row r="309" spans="1:26" hidden="1"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80"/>
      <c r="H309" s="1480"/>
      <c r="I309" s="1427" t="str">
        <f t="shared" si="34"/>
        <v>Min CS Markup Override Flag</v>
      </c>
      <c r="J309" s="1480" t="str">
        <f t="shared" si="37"/>
        <v>F278</v>
      </c>
      <c r="K309" s="1480" t="str">
        <f t="shared" si="35"/>
        <v>Pricing Schedule</v>
      </c>
      <c r="L309" s="907" t="s">
        <v>1295</v>
      </c>
      <c r="M309" s="1480">
        <v>278</v>
      </c>
      <c r="N309" s="1480"/>
      <c r="O309" s="1477"/>
      <c r="P309" s="1477"/>
      <c r="Q309" s="1477"/>
      <c r="R309" s="1477"/>
      <c r="S309" s="1477"/>
      <c r="T309" s="1477"/>
      <c r="U309" s="1477"/>
      <c r="V309" s="1477"/>
      <c r="W309" s="1477"/>
      <c r="X309" s="1477"/>
      <c r="Y309" s="1477"/>
      <c r="Z309" s="1477"/>
    </row>
    <row r="310" spans="1:26" hidden="1"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80"/>
      <c r="H310" s="1480"/>
      <c r="I310" s="1427" t="str">
        <f t="shared" si="34"/>
        <v>Min CS Markup Amt</v>
      </c>
      <c r="J310" s="1480" t="str">
        <f t="shared" si="37"/>
        <v>F279</v>
      </c>
      <c r="K310" s="1480" t="str">
        <f t="shared" si="35"/>
        <v>Pricing Schedule</v>
      </c>
      <c r="L310" s="907" t="s">
        <v>1296</v>
      </c>
      <c r="M310" s="1480">
        <v>279</v>
      </c>
      <c r="N310" s="1480"/>
      <c r="O310" s="1477"/>
      <c r="P310" s="1477"/>
      <c r="Q310" s="1477"/>
      <c r="R310" s="1477"/>
      <c r="S310" s="1477"/>
      <c r="T310" s="1477"/>
      <c r="U310" s="1477"/>
      <c r="V310" s="1477"/>
      <c r="W310" s="1477"/>
      <c r="X310" s="1477"/>
      <c r="Y310" s="1477"/>
      <c r="Z310" s="1477"/>
    </row>
    <row r="311" spans="1:26" hidden="1"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80"/>
      <c r="H311" s="1480"/>
      <c r="I311" s="1427" t="str">
        <f t="shared" si="34"/>
        <v>Split Case Fee Override Flag</v>
      </c>
      <c r="J311" s="1480" t="str">
        <f t="shared" si="37"/>
        <v>F280</v>
      </c>
      <c r="K311" s="1480" t="str">
        <f t="shared" si="35"/>
        <v>Pricing Schedule</v>
      </c>
      <c r="L311" s="907" t="s">
        <v>1297</v>
      </c>
      <c r="M311" s="1480">
        <v>280</v>
      </c>
      <c r="N311" s="1480"/>
      <c r="O311" s="1477"/>
      <c r="P311" s="1477"/>
      <c r="Q311" s="1477"/>
      <c r="R311" s="1477"/>
      <c r="S311" s="1477"/>
      <c r="T311" s="1477"/>
      <c r="U311" s="1477"/>
      <c r="V311" s="1477"/>
      <c r="W311" s="1477"/>
      <c r="X311" s="1477"/>
      <c r="Y311" s="1477"/>
      <c r="Z311" s="1477"/>
    </row>
    <row r="312" spans="1:26" hidden="1"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80"/>
      <c r="H312" s="1480"/>
      <c r="I312" s="1427" t="str">
        <f t="shared" si="34"/>
        <v>Split Case Fee</v>
      </c>
      <c r="J312" s="1480" t="str">
        <f t="shared" si="37"/>
        <v>F281</v>
      </c>
      <c r="K312" s="1480" t="str">
        <f t="shared" si="35"/>
        <v>Pricing Schedule</v>
      </c>
      <c r="L312" s="907" t="s">
        <v>1298</v>
      </c>
      <c r="M312" s="1480">
        <v>281</v>
      </c>
      <c r="N312" s="1480"/>
      <c r="O312" s="1477"/>
      <c r="P312" s="1477"/>
      <c r="Q312" s="1477"/>
      <c r="R312" s="1477"/>
      <c r="S312" s="1477"/>
      <c r="T312" s="1477"/>
      <c r="U312" s="1477"/>
      <c r="V312" s="1477"/>
      <c r="W312" s="1477"/>
      <c r="X312" s="1477"/>
      <c r="Y312" s="1477"/>
      <c r="Z312" s="1477"/>
    </row>
    <row r="313" spans="1:26" hidden="1"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80"/>
      <c r="H313" s="1480"/>
      <c r="I313" s="1427" t="str">
        <f t="shared" si="34"/>
        <v>Split Case Per</v>
      </c>
      <c r="J313" s="1480" t="str">
        <f t="shared" si="37"/>
        <v>F282</v>
      </c>
      <c r="K313" s="1480" t="str">
        <f t="shared" si="35"/>
        <v>Pricing Schedule</v>
      </c>
      <c r="L313" s="907" t="s">
        <v>1238</v>
      </c>
      <c r="M313" s="1480">
        <v>282</v>
      </c>
      <c r="N313" s="1480"/>
      <c r="O313" s="1477"/>
      <c r="P313" s="1477"/>
      <c r="Q313" s="1477"/>
      <c r="R313" s="1477"/>
      <c r="S313" s="1477"/>
      <c r="T313" s="1477"/>
      <c r="U313" s="1477"/>
      <c r="V313" s="1477"/>
      <c r="W313" s="1477"/>
      <c r="X313" s="1477"/>
      <c r="Y313" s="1477"/>
      <c r="Z313" s="1477"/>
    </row>
    <row r="314" spans="1:26" hidden="1"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80"/>
      <c r="G314" s="1480"/>
      <c r="H314" s="1480"/>
      <c r="I314" s="1427" t="str">
        <f t="shared" si="34"/>
        <v/>
      </c>
      <c r="J314" s="1480"/>
      <c r="K314" s="1480" t="str">
        <f t="shared" si="35"/>
        <v/>
      </c>
      <c r="L314" s="907" t="s">
        <v>1299</v>
      </c>
      <c r="M314" s="1480">
        <v>283</v>
      </c>
      <c r="N314" s="1480"/>
      <c r="O314" s="1477"/>
      <c r="P314" s="1477"/>
      <c r="Q314" s="1477"/>
      <c r="R314" s="1477"/>
      <c r="S314" s="1477"/>
      <c r="T314" s="1477"/>
      <c r="U314" s="1477"/>
      <c r="V314" s="1477"/>
      <c r="W314" s="1477"/>
      <c r="X314" s="1477"/>
      <c r="Y314" s="1477"/>
      <c r="Z314" s="1477"/>
    </row>
    <row r="315" spans="1:26" hidden="1"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80"/>
      <c r="G315" s="1480"/>
      <c r="H315" s="1480"/>
      <c r="I315" s="1427" t="str">
        <f t="shared" si="34"/>
        <v/>
      </c>
      <c r="J315" s="1480"/>
      <c r="K315" s="1480" t="str">
        <f t="shared" si="35"/>
        <v/>
      </c>
      <c r="L315" s="907" t="s">
        <v>253</v>
      </c>
      <c r="M315" s="1480">
        <v>284</v>
      </c>
      <c r="N315" s="1480"/>
      <c r="O315" s="1477"/>
      <c r="P315" s="1477"/>
      <c r="Q315" s="1477"/>
      <c r="R315" s="1477"/>
      <c r="S315" s="1477"/>
      <c r="T315" s="1477"/>
      <c r="U315" s="1477"/>
      <c r="V315" s="1477"/>
      <c r="W315" s="1477"/>
      <c r="X315" s="1477"/>
      <c r="Y315" s="1477"/>
      <c r="Z315" s="1477"/>
    </row>
    <row r="316" spans="1:26" hidden="1"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80"/>
      <c r="G316" s="1480"/>
      <c r="H316" s="1480"/>
      <c r="I316" s="1427" t="str">
        <f t="shared" si="34"/>
        <v/>
      </c>
      <c r="J316" s="1480"/>
      <c r="K316" s="1480" t="str">
        <f t="shared" si="35"/>
        <v/>
      </c>
      <c r="L316" s="907" t="s">
        <v>1256</v>
      </c>
      <c r="M316" s="1480">
        <v>285</v>
      </c>
      <c r="N316" s="1480"/>
      <c r="O316" s="1477"/>
      <c r="P316" s="1477"/>
      <c r="Q316" s="1477"/>
      <c r="R316" s="1477"/>
      <c r="S316" s="1477"/>
      <c r="T316" s="1477"/>
      <c r="U316" s="1477"/>
      <c r="V316" s="1477"/>
      <c r="W316" s="1477"/>
      <c r="X316" s="1477"/>
      <c r="Y316" s="1477"/>
      <c r="Z316" s="1477"/>
    </row>
    <row r="317" spans="1:26" hidden="1"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80"/>
      <c r="G317" s="1480"/>
      <c r="H317" s="1480"/>
      <c r="I317" s="1427" t="str">
        <f t="shared" si="34"/>
        <v/>
      </c>
      <c r="J317" s="1480"/>
      <c r="K317" s="1480" t="str">
        <f t="shared" si="35"/>
        <v/>
      </c>
      <c r="L317" s="907" t="s">
        <v>225</v>
      </c>
      <c r="M317" s="1480">
        <v>286</v>
      </c>
      <c r="N317" s="1480"/>
      <c r="O317" s="1477"/>
      <c r="P317" s="1477"/>
      <c r="Q317" s="1477"/>
      <c r="R317" s="1477"/>
      <c r="S317" s="1477"/>
      <c r="T317" s="1477"/>
      <c r="U317" s="1477"/>
      <c r="V317" s="1477"/>
      <c r="W317" s="1477"/>
      <c r="X317" s="1477"/>
      <c r="Y317" s="1477"/>
      <c r="Z317" s="1477"/>
    </row>
    <row r="318" spans="1:26" hidden="1" x14ac:dyDescent="0.25">
      <c r="A318" s="933" t="s">
        <v>465</v>
      </c>
      <c r="B318" s="1427" t="str">
        <f ca="1">_xlfn.CONCAT(IFERROR(SUBSTITUTE(ADDRESS(1,MATCH(A318,INDIRECT("'"&amp;E318&amp;"'"&amp;"!A9:Z9"),0),4),1,""),""),13)</f>
        <v>E13</v>
      </c>
      <c r="C318" s="1427" t="str">
        <f ca="1">_xlfn.CONCAT(IFERROR(SUBSTITUTE(ADDRESS(1,MATCH(A318,INDIRECT("'"&amp;E318&amp;"'"&amp;"!A9:Z9"),0),4),1,""),""))</f>
        <v>E</v>
      </c>
      <c r="D318" s="1480" t="s">
        <v>1372</v>
      </c>
      <c r="E318" s="867" t="s">
        <v>208</v>
      </c>
      <c r="F318" s="1480"/>
      <c r="G318" s="1480"/>
      <c r="H318" s="1480"/>
      <c r="I318" s="1427" t="str">
        <f t="shared" si="34"/>
        <v>Exclude PIM Classes Below</v>
      </c>
      <c r="J318" s="1480" t="str">
        <f t="shared" si="37"/>
        <v>F287</v>
      </c>
      <c r="K318" s="1480" t="str">
        <f t="shared" si="35"/>
        <v>PIM Model</v>
      </c>
      <c r="L318" s="907" t="s">
        <v>465</v>
      </c>
      <c r="M318" s="1480">
        <v>287</v>
      </c>
      <c r="N318" s="1480"/>
      <c r="O318" s="1477"/>
      <c r="P318" s="1477"/>
      <c r="Q318" s="1477"/>
      <c r="R318" s="1477"/>
      <c r="S318" s="1477"/>
      <c r="T318" s="1477"/>
      <c r="U318" s="1477"/>
      <c r="V318" s="1477"/>
      <c r="W318" s="1477"/>
      <c r="X318" s="1477"/>
      <c r="Y318" s="1477"/>
      <c r="Z318" s="1477"/>
    </row>
    <row r="319" spans="1:26" hidden="1"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80"/>
      <c r="G319" s="1480"/>
      <c r="H319" s="1480"/>
      <c r="I319" s="1427" t="str">
        <f t="shared" si="34"/>
        <v>Special Pricing Code</v>
      </c>
      <c r="J319" s="1480" t="str">
        <f t="shared" si="37"/>
        <v>F288</v>
      </c>
      <c r="K319" s="1480" t="str">
        <f t="shared" si="35"/>
        <v>Pricing Schedule</v>
      </c>
      <c r="L319" s="907" t="s">
        <v>1292</v>
      </c>
      <c r="M319" s="1480">
        <v>288</v>
      </c>
      <c r="N319" s="1480"/>
      <c r="O319" s="1477"/>
      <c r="P319" s="1477"/>
      <c r="Q319" s="1477"/>
      <c r="R319" s="1477"/>
      <c r="S319" s="1477"/>
      <c r="T319" s="1477"/>
      <c r="U319" s="1477"/>
      <c r="V319" s="1477"/>
      <c r="W319" s="1477"/>
      <c r="X319" s="1477"/>
      <c r="Y319" s="1477"/>
      <c r="Z319" s="1477"/>
    </row>
    <row r="320" spans="1:26" hidden="1"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80"/>
      <c r="H320" s="1480"/>
      <c r="I320" s="1427" t="str">
        <f t="shared" si="34"/>
        <v>EB Markup Amt</v>
      </c>
      <c r="J320" s="1480" t="str">
        <f t="shared" si="37"/>
        <v>F289</v>
      </c>
      <c r="K320" s="1480" t="str">
        <f t="shared" si="35"/>
        <v>Pricing Schedule</v>
      </c>
      <c r="L320" s="907" t="s">
        <v>1294</v>
      </c>
      <c r="M320" s="1480">
        <v>289</v>
      </c>
      <c r="N320" s="1480"/>
      <c r="O320" s="1477"/>
      <c r="P320" s="1477"/>
      <c r="Q320" s="1477"/>
      <c r="R320" s="1477"/>
      <c r="S320" s="1477"/>
      <c r="T320" s="1477"/>
      <c r="U320" s="1477"/>
      <c r="V320" s="1477"/>
      <c r="W320" s="1477"/>
      <c r="X320" s="1477"/>
      <c r="Y320" s="1477"/>
      <c r="Z320" s="1477"/>
    </row>
    <row r="321" spans="1:26" hidden="1"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80"/>
      <c r="H321" s="1480"/>
      <c r="I321" s="1427" t="str">
        <f t="shared" si="34"/>
        <v>Min CS Markup Override Flag</v>
      </c>
      <c r="J321" s="1480" t="str">
        <f t="shared" si="37"/>
        <v>F290</v>
      </c>
      <c r="K321" s="1480" t="str">
        <f t="shared" si="35"/>
        <v>Pricing Schedule</v>
      </c>
      <c r="L321" s="907" t="s">
        <v>1295</v>
      </c>
      <c r="M321" s="1480">
        <v>290</v>
      </c>
      <c r="N321" s="1480"/>
      <c r="O321" s="1477"/>
      <c r="P321" s="1477"/>
      <c r="Q321" s="1477"/>
      <c r="R321" s="1477"/>
      <c r="S321" s="1477"/>
      <c r="T321" s="1477"/>
      <c r="U321" s="1477"/>
      <c r="V321" s="1477"/>
      <c r="W321" s="1477"/>
      <c r="X321" s="1477"/>
      <c r="Y321" s="1477"/>
      <c r="Z321" s="1477"/>
    </row>
    <row r="322" spans="1:26" hidden="1"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80"/>
      <c r="H322" s="1480"/>
      <c r="I322" s="1427" t="str">
        <f t="shared" si="34"/>
        <v>Min CS Markup Amt</v>
      </c>
      <c r="J322" s="1480" t="str">
        <f t="shared" si="37"/>
        <v>F291</v>
      </c>
      <c r="K322" s="1480" t="str">
        <f t="shared" si="35"/>
        <v>Pricing Schedule</v>
      </c>
      <c r="L322" s="907" t="s">
        <v>1296</v>
      </c>
      <c r="M322" s="1480">
        <v>291</v>
      </c>
      <c r="N322" s="1480"/>
      <c r="O322" s="1477"/>
      <c r="P322" s="1477"/>
      <c r="Q322" s="1477"/>
      <c r="R322" s="1477"/>
      <c r="S322" s="1477"/>
      <c r="T322" s="1477"/>
      <c r="U322" s="1477"/>
      <c r="V322" s="1477"/>
      <c r="W322" s="1477"/>
      <c r="X322" s="1477"/>
      <c r="Y322" s="1477"/>
      <c r="Z322" s="1477"/>
    </row>
    <row r="323" spans="1:26" hidden="1"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80"/>
      <c r="H323" s="1480"/>
      <c r="I323" s="1427" t="str">
        <f t="shared" si="34"/>
        <v>Split Case Fee Override Flag</v>
      </c>
      <c r="J323" s="1480" t="str">
        <f t="shared" si="37"/>
        <v>F292</v>
      </c>
      <c r="K323" s="1480" t="str">
        <f t="shared" si="35"/>
        <v>Pricing Schedule</v>
      </c>
      <c r="L323" s="907" t="s">
        <v>1297</v>
      </c>
      <c r="M323" s="1480">
        <v>292</v>
      </c>
      <c r="N323" s="1480"/>
      <c r="O323" s="1477"/>
      <c r="P323" s="1477"/>
      <c r="Q323" s="1477"/>
      <c r="R323" s="1477"/>
      <c r="S323" s="1477"/>
      <c r="T323" s="1477"/>
      <c r="U323" s="1477"/>
      <c r="V323" s="1477"/>
      <c r="W323" s="1477"/>
      <c r="X323" s="1477"/>
      <c r="Y323" s="1477"/>
      <c r="Z323" s="1477"/>
    </row>
    <row r="324" spans="1:26" hidden="1"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80"/>
      <c r="H324" s="1480"/>
      <c r="I324" s="1427" t="str">
        <f t="shared" ref="I324:I387" si="38">IF(J324&lt;&gt;"",A324,"")</f>
        <v>Split Case Fee</v>
      </c>
      <c r="J324" s="1480" t="str">
        <f t="shared" si="37"/>
        <v>F293</v>
      </c>
      <c r="K324" s="1480" t="str">
        <f t="shared" ref="K324:K387" si="39">IF(J324&lt;&gt;"",E324,"")</f>
        <v>Pricing Schedule</v>
      </c>
      <c r="L324" s="907" t="s">
        <v>1298</v>
      </c>
      <c r="M324" s="1480">
        <v>293</v>
      </c>
      <c r="N324" s="1480"/>
      <c r="O324" s="1477"/>
      <c r="P324" s="1477"/>
      <c r="Q324" s="1477"/>
      <c r="R324" s="1477"/>
      <c r="S324" s="1477"/>
      <c r="T324" s="1477"/>
      <c r="U324" s="1477"/>
      <c r="V324" s="1477"/>
      <c r="W324" s="1477"/>
      <c r="X324" s="1477"/>
      <c r="Y324" s="1477"/>
      <c r="Z324" s="1477"/>
    </row>
    <row r="325" spans="1:26" hidden="1"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80"/>
      <c r="H325" s="1480"/>
      <c r="I325" s="1427" t="str">
        <f t="shared" si="38"/>
        <v>Split Case Per</v>
      </c>
      <c r="J325" s="1480" t="str">
        <f t="shared" si="37"/>
        <v>F294</v>
      </c>
      <c r="K325" s="1480" t="str">
        <f t="shared" si="39"/>
        <v>Pricing Schedule</v>
      </c>
      <c r="L325" s="907" t="s">
        <v>1238</v>
      </c>
      <c r="M325" s="1480">
        <v>294</v>
      </c>
      <c r="N325" s="1480"/>
      <c r="O325" s="1477"/>
      <c r="P325" s="1477"/>
      <c r="Q325" s="1477"/>
      <c r="R325" s="1477"/>
      <c r="S325" s="1477"/>
      <c r="T325" s="1477"/>
      <c r="U325" s="1477"/>
      <c r="V325" s="1477"/>
      <c r="W325" s="1477"/>
      <c r="X325" s="1477"/>
      <c r="Y325" s="1477"/>
      <c r="Z325" s="1477"/>
    </row>
    <row r="326" spans="1:26" hidden="1"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80"/>
      <c r="G326" s="1480"/>
      <c r="H326" s="1480"/>
      <c r="I326" s="1427" t="str">
        <f t="shared" si="38"/>
        <v/>
      </c>
      <c r="J326" s="1480"/>
      <c r="K326" s="1480" t="str">
        <f t="shared" si="39"/>
        <v/>
      </c>
      <c r="L326" s="907" t="s">
        <v>1299</v>
      </c>
      <c r="M326" s="1480">
        <v>295</v>
      </c>
      <c r="N326" s="1480"/>
      <c r="O326" s="1477"/>
      <c r="P326" s="1477"/>
      <c r="Q326" s="1477"/>
      <c r="R326" s="1477"/>
      <c r="S326" s="1477"/>
      <c r="T326" s="1477"/>
      <c r="U326" s="1477"/>
      <c r="V326" s="1477"/>
      <c r="W326" s="1477"/>
      <c r="X326" s="1477"/>
      <c r="Y326" s="1477"/>
      <c r="Z326" s="1477"/>
    </row>
    <row r="327" spans="1:26" hidden="1"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80"/>
      <c r="G327" s="1480"/>
      <c r="H327" s="1480"/>
      <c r="I327" s="1427" t="str">
        <f t="shared" si="38"/>
        <v/>
      </c>
      <c r="J327" s="1480"/>
      <c r="K327" s="1480" t="str">
        <f t="shared" si="39"/>
        <v/>
      </c>
      <c r="L327" s="907" t="s">
        <v>253</v>
      </c>
      <c r="M327" s="1480">
        <v>296</v>
      </c>
      <c r="N327" s="1480"/>
      <c r="O327" s="1477"/>
      <c r="P327" s="1477"/>
      <c r="Q327" s="1477"/>
      <c r="R327" s="1477"/>
      <c r="S327" s="1477"/>
      <c r="T327" s="1477"/>
      <c r="U327" s="1477"/>
      <c r="V327" s="1477"/>
      <c r="W327" s="1477"/>
      <c r="X327" s="1477"/>
      <c r="Y327" s="1477"/>
      <c r="Z327" s="1477"/>
    </row>
    <row r="328" spans="1:26" hidden="1"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80"/>
      <c r="G328" s="1480"/>
      <c r="H328" s="1480"/>
      <c r="I328" s="1427" t="str">
        <f t="shared" si="38"/>
        <v/>
      </c>
      <c r="J328" s="1480"/>
      <c r="K328" s="1480" t="str">
        <f t="shared" si="39"/>
        <v/>
      </c>
      <c r="L328" s="907" t="s">
        <v>1256</v>
      </c>
      <c r="M328" s="1480">
        <v>297</v>
      </c>
      <c r="N328" s="1480"/>
      <c r="O328" s="1477"/>
      <c r="P328" s="1477"/>
      <c r="Q328" s="1477"/>
      <c r="R328" s="1477"/>
      <c r="S328" s="1477"/>
      <c r="T328" s="1477"/>
      <c r="U328" s="1477"/>
      <c r="V328" s="1477"/>
      <c r="W328" s="1477"/>
      <c r="X328" s="1477"/>
      <c r="Y328" s="1477"/>
      <c r="Z328" s="1477"/>
    </row>
    <row r="329" spans="1:26" hidden="1"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80"/>
      <c r="G329" s="1480"/>
      <c r="H329" s="1480"/>
      <c r="I329" s="1427" t="str">
        <f t="shared" si="38"/>
        <v/>
      </c>
      <c r="J329" s="1480"/>
      <c r="K329" s="1480" t="str">
        <f t="shared" si="39"/>
        <v/>
      </c>
      <c r="L329" s="907" t="s">
        <v>225</v>
      </c>
      <c r="M329" s="1480">
        <v>298</v>
      </c>
      <c r="N329" s="1480"/>
      <c r="O329" s="1477"/>
      <c r="P329" s="1477"/>
      <c r="Q329" s="1477"/>
      <c r="R329" s="1477"/>
      <c r="S329" s="1477"/>
      <c r="T329" s="1477"/>
      <c r="U329" s="1477"/>
      <c r="V329" s="1477"/>
      <c r="W329" s="1477"/>
      <c r="X329" s="1477"/>
      <c r="Y329" s="1477"/>
      <c r="Z329" s="1477"/>
    </row>
    <row r="330" spans="1:26" hidden="1" x14ac:dyDescent="0.25">
      <c r="A330" s="930" t="s">
        <v>465</v>
      </c>
      <c r="B330" s="1427" t="str">
        <f ca="1">_xlfn.CONCAT(IFERROR(SUBSTITUTE(ADDRESS(1,MATCH(A330,INDIRECT("'"&amp;E330&amp;"'"&amp;"!A9:Z9"),0),4),1,""),""),14)</f>
        <v>E14</v>
      </c>
      <c r="C330" s="1427" t="str">
        <f ca="1">_xlfn.CONCAT(IFERROR(SUBSTITUTE(ADDRESS(1,MATCH(A330,INDIRECT("'"&amp;E330&amp;"'"&amp;"!A9:Z9"),0),4),1,""),""))</f>
        <v>E</v>
      </c>
      <c r="D330" s="1480" t="s">
        <v>1372</v>
      </c>
      <c r="E330" s="867" t="s">
        <v>208</v>
      </c>
      <c r="F330" s="1480"/>
      <c r="G330" s="1480"/>
      <c r="H330" s="1480"/>
      <c r="I330" s="1427" t="str">
        <f t="shared" si="38"/>
        <v>Exclude PIM Classes Below</v>
      </c>
      <c r="J330" s="1480" t="str">
        <f t="shared" ref="J330:J385" si="40">IF(M330&lt;&gt;"",Q$1&amp;M330,"")</f>
        <v>F299</v>
      </c>
      <c r="K330" s="1480" t="str">
        <f t="shared" si="39"/>
        <v>PIM Model</v>
      </c>
      <c r="L330" s="907" t="s">
        <v>465</v>
      </c>
      <c r="M330" s="1480">
        <v>299</v>
      </c>
      <c r="N330" s="1480"/>
      <c r="O330" s="1477"/>
      <c r="P330" s="1477"/>
      <c r="Q330" s="1477"/>
      <c r="R330" s="1477"/>
      <c r="S330" s="1477"/>
      <c r="T330" s="1477"/>
      <c r="U330" s="1477"/>
      <c r="V330" s="1477"/>
      <c r="W330" s="1477"/>
      <c r="X330" s="1477"/>
      <c r="Y330" s="1477"/>
      <c r="Z330" s="1477"/>
    </row>
    <row r="331" spans="1:26" hidden="1"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80"/>
      <c r="G331" s="1480"/>
      <c r="H331" s="1480"/>
      <c r="I331" s="1427" t="str">
        <f t="shared" si="38"/>
        <v>Special Pricing Code</v>
      </c>
      <c r="J331" s="1480" t="str">
        <f t="shared" si="40"/>
        <v>F300</v>
      </c>
      <c r="K331" s="1480" t="str">
        <f t="shared" si="39"/>
        <v>Pricing Schedule</v>
      </c>
      <c r="L331" s="907" t="s">
        <v>1292</v>
      </c>
      <c r="M331" s="1480">
        <v>300</v>
      </c>
      <c r="N331" s="1480"/>
      <c r="O331" s="1477"/>
      <c r="P331" s="1477"/>
      <c r="Q331" s="1477"/>
      <c r="R331" s="1477"/>
      <c r="S331" s="1477"/>
      <c r="T331" s="1477"/>
      <c r="U331" s="1477"/>
      <c r="V331" s="1477"/>
      <c r="W331" s="1477"/>
      <c r="X331" s="1477"/>
      <c r="Y331" s="1477"/>
      <c r="Z331" s="1477"/>
    </row>
    <row r="332" spans="1:26" hidden="1"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80"/>
      <c r="H332" s="1480"/>
      <c r="I332" s="1427" t="str">
        <f t="shared" si="38"/>
        <v>EB Markup Amt</v>
      </c>
      <c r="J332" s="1480" t="str">
        <f t="shared" si="40"/>
        <v>F301</v>
      </c>
      <c r="K332" s="1480" t="str">
        <f t="shared" si="39"/>
        <v>Pricing Schedule</v>
      </c>
      <c r="L332" s="907" t="s">
        <v>1294</v>
      </c>
      <c r="M332" s="1480">
        <v>301</v>
      </c>
      <c r="N332" s="1480"/>
      <c r="O332" s="1477"/>
      <c r="P332" s="1477"/>
      <c r="Q332" s="1477"/>
      <c r="R332" s="1477"/>
      <c r="S332" s="1477"/>
      <c r="T332" s="1477"/>
      <c r="U332" s="1477"/>
      <c r="V332" s="1477"/>
      <c r="W332" s="1477"/>
      <c r="X332" s="1477"/>
      <c r="Y332" s="1477"/>
      <c r="Z332" s="1477"/>
    </row>
    <row r="333" spans="1:26" hidden="1"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80"/>
      <c r="H333" s="1480"/>
      <c r="I333" s="1427" t="str">
        <f t="shared" si="38"/>
        <v>Min CS Markup Override Flag</v>
      </c>
      <c r="J333" s="1480" t="str">
        <f t="shared" si="40"/>
        <v>F302</v>
      </c>
      <c r="K333" s="1480" t="str">
        <f t="shared" si="39"/>
        <v>Pricing Schedule</v>
      </c>
      <c r="L333" s="907" t="s">
        <v>1295</v>
      </c>
      <c r="M333" s="1480">
        <v>302</v>
      </c>
      <c r="N333" s="1480"/>
      <c r="O333" s="1477"/>
      <c r="P333" s="1477"/>
      <c r="Q333" s="1477"/>
      <c r="R333" s="1477"/>
      <c r="S333" s="1477"/>
      <c r="T333" s="1477"/>
      <c r="U333" s="1477"/>
      <c r="V333" s="1477"/>
      <c r="W333" s="1477"/>
      <c r="X333" s="1477"/>
      <c r="Y333" s="1477"/>
      <c r="Z333" s="1477"/>
    </row>
    <row r="334" spans="1:26" hidden="1"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80"/>
      <c r="H334" s="1480"/>
      <c r="I334" s="1427" t="str">
        <f t="shared" si="38"/>
        <v>Min CS Markup Amt</v>
      </c>
      <c r="J334" s="1480" t="str">
        <f t="shared" si="40"/>
        <v>F303</v>
      </c>
      <c r="K334" s="1480" t="str">
        <f t="shared" si="39"/>
        <v>Pricing Schedule</v>
      </c>
      <c r="L334" s="907" t="s">
        <v>1296</v>
      </c>
      <c r="M334" s="1480">
        <v>303</v>
      </c>
      <c r="N334" s="1480"/>
      <c r="O334" s="1477"/>
      <c r="P334" s="1477"/>
      <c r="Q334" s="1477"/>
      <c r="R334" s="1477"/>
      <c r="S334" s="1477"/>
      <c r="T334" s="1477"/>
      <c r="U334" s="1477"/>
      <c r="V334" s="1477"/>
      <c r="W334" s="1477"/>
      <c r="X334" s="1477"/>
      <c r="Y334" s="1477"/>
      <c r="Z334" s="1477"/>
    </row>
    <row r="335" spans="1:26" hidden="1"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80"/>
      <c r="H335" s="1480"/>
      <c r="I335" s="1427" t="str">
        <f t="shared" si="38"/>
        <v>Split Case Fee Override Flag</v>
      </c>
      <c r="J335" s="1480" t="str">
        <f t="shared" si="40"/>
        <v>F304</v>
      </c>
      <c r="K335" s="1480" t="str">
        <f t="shared" si="39"/>
        <v>Pricing Schedule</v>
      </c>
      <c r="L335" s="907" t="s">
        <v>1297</v>
      </c>
      <c r="M335" s="1480">
        <v>304</v>
      </c>
      <c r="N335" s="1480"/>
      <c r="O335" s="1477"/>
      <c r="P335" s="1477"/>
      <c r="Q335" s="1477"/>
      <c r="R335" s="1477"/>
      <c r="S335" s="1477"/>
      <c r="T335" s="1477"/>
      <c r="U335" s="1477"/>
      <c r="V335" s="1477"/>
      <c r="W335" s="1477"/>
      <c r="X335" s="1477"/>
      <c r="Y335" s="1477"/>
      <c r="Z335" s="1477"/>
    </row>
    <row r="336" spans="1:26" hidden="1"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80"/>
      <c r="H336" s="1480"/>
      <c r="I336" s="1427" t="str">
        <f t="shared" si="38"/>
        <v>Split Case Fee</v>
      </c>
      <c r="J336" s="1480" t="str">
        <f t="shared" si="40"/>
        <v>F305</v>
      </c>
      <c r="K336" s="1480" t="str">
        <f t="shared" si="39"/>
        <v>Pricing Schedule</v>
      </c>
      <c r="L336" s="907" t="s">
        <v>1298</v>
      </c>
      <c r="M336" s="1480">
        <v>305</v>
      </c>
      <c r="N336" s="1480"/>
      <c r="O336" s="1477"/>
      <c r="P336" s="1477"/>
      <c r="Q336" s="1477"/>
      <c r="R336" s="1477"/>
      <c r="S336" s="1477"/>
      <c r="T336" s="1477"/>
      <c r="U336" s="1477"/>
      <c r="V336" s="1477"/>
      <c r="W336" s="1477"/>
      <c r="X336" s="1477"/>
      <c r="Y336" s="1477"/>
      <c r="Z336" s="1477"/>
    </row>
    <row r="337" spans="1:26" hidden="1"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80"/>
      <c r="H337" s="1480"/>
      <c r="I337" s="1427" t="str">
        <f t="shared" si="38"/>
        <v>Split Case Per</v>
      </c>
      <c r="J337" s="1480" t="str">
        <f t="shared" si="40"/>
        <v>F306</v>
      </c>
      <c r="K337" s="1480" t="str">
        <f t="shared" si="39"/>
        <v>Pricing Schedule</v>
      </c>
      <c r="L337" s="907" t="s">
        <v>1238</v>
      </c>
      <c r="M337" s="1480">
        <v>306</v>
      </c>
      <c r="N337" s="1480"/>
      <c r="O337" s="1477"/>
      <c r="P337" s="1477"/>
      <c r="Q337" s="1477"/>
      <c r="R337" s="1477"/>
      <c r="S337" s="1477"/>
      <c r="T337" s="1477"/>
      <c r="U337" s="1477"/>
      <c r="V337" s="1477"/>
      <c r="W337" s="1477"/>
      <c r="X337" s="1477"/>
      <c r="Y337" s="1477"/>
      <c r="Z337" s="1477"/>
    </row>
    <row r="338" spans="1:26" hidden="1"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80"/>
      <c r="G338" s="1480"/>
      <c r="H338" s="1480"/>
      <c r="I338" s="1427" t="str">
        <f t="shared" si="38"/>
        <v/>
      </c>
      <c r="J338" s="1480"/>
      <c r="K338" s="1480" t="str">
        <f t="shared" si="39"/>
        <v/>
      </c>
      <c r="L338" s="907" t="s">
        <v>1299</v>
      </c>
      <c r="M338" s="1480">
        <v>307</v>
      </c>
      <c r="N338" s="1480"/>
      <c r="O338" s="1477"/>
      <c r="P338" s="1477"/>
      <c r="Q338" s="1477"/>
      <c r="R338" s="1477"/>
      <c r="S338" s="1477"/>
      <c r="T338" s="1477"/>
      <c r="U338" s="1477"/>
      <c r="V338" s="1477"/>
      <c r="W338" s="1477"/>
      <c r="X338" s="1477"/>
      <c r="Y338" s="1477"/>
      <c r="Z338" s="1477"/>
    </row>
    <row r="339" spans="1:26" hidden="1"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80"/>
      <c r="G339" s="1480"/>
      <c r="H339" s="1480"/>
      <c r="I339" s="1427" t="str">
        <f t="shared" si="38"/>
        <v/>
      </c>
      <c r="J339" s="1480"/>
      <c r="K339" s="1480" t="str">
        <f t="shared" si="39"/>
        <v/>
      </c>
      <c r="L339" s="907" t="s">
        <v>253</v>
      </c>
      <c r="M339" s="1480">
        <v>308</v>
      </c>
      <c r="N339" s="1480"/>
      <c r="O339" s="1477"/>
      <c r="P339" s="1477"/>
      <c r="Q339" s="1477"/>
      <c r="R339" s="1477"/>
      <c r="S339" s="1477"/>
      <c r="T339" s="1477"/>
      <c r="U339" s="1477"/>
      <c r="V339" s="1477"/>
      <c r="W339" s="1477"/>
      <c r="X339" s="1477"/>
      <c r="Y339" s="1477"/>
      <c r="Z339" s="1477"/>
    </row>
    <row r="340" spans="1:26" hidden="1"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80"/>
      <c r="G340" s="1480"/>
      <c r="H340" s="1480"/>
      <c r="I340" s="1427" t="str">
        <f t="shared" si="38"/>
        <v/>
      </c>
      <c r="J340" s="1480"/>
      <c r="K340" s="1480" t="str">
        <f t="shared" si="39"/>
        <v/>
      </c>
      <c r="L340" s="907" t="s">
        <v>1256</v>
      </c>
      <c r="M340" s="1480">
        <v>309</v>
      </c>
      <c r="N340" s="1480"/>
      <c r="O340" s="1477"/>
      <c r="P340" s="1477"/>
      <c r="Q340" s="1477"/>
      <c r="R340" s="1477"/>
      <c r="S340" s="1477"/>
      <c r="T340" s="1477"/>
      <c r="U340" s="1477"/>
      <c r="V340" s="1477"/>
      <c r="W340" s="1477"/>
      <c r="X340" s="1477"/>
      <c r="Y340" s="1477"/>
      <c r="Z340" s="1477"/>
    </row>
    <row r="341" spans="1:26" hidden="1"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80"/>
      <c r="G341" s="1480"/>
      <c r="H341" s="1480"/>
      <c r="I341" s="1427" t="str">
        <f t="shared" si="38"/>
        <v/>
      </c>
      <c r="J341" s="1480"/>
      <c r="K341" s="1480" t="str">
        <f t="shared" si="39"/>
        <v/>
      </c>
      <c r="L341" s="907" t="s">
        <v>225</v>
      </c>
      <c r="M341" s="1480">
        <v>310</v>
      </c>
      <c r="N341" s="1480"/>
      <c r="O341" s="1477"/>
      <c r="P341" s="1477"/>
      <c r="Q341" s="1477"/>
      <c r="R341" s="1477"/>
      <c r="S341" s="1477"/>
      <c r="T341" s="1477"/>
      <c r="U341" s="1477"/>
      <c r="V341" s="1477"/>
      <c r="W341" s="1477"/>
      <c r="X341" s="1477"/>
      <c r="Y341" s="1477"/>
      <c r="Z341" s="1477"/>
    </row>
    <row r="342" spans="1:26" hidden="1" x14ac:dyDescent="0.25">
      <c r="A342" s="933" t="s">
        <v>465</v>
      </c>
      <c r="B342" s="1427" t="str">
        <f ca="1">_xlfn.CONCAT(IFERROR(SUBSTITUTE(ADDRESS(1,MATCH(A342,INDIRECT("'"&amp;E342&amp;"'"&amp;"!A9:Z9"),0),4),1,""),""),15)</f>
        <v>E15</v>
      </c>
      <c r="C342" s="1427" t="str">
        <f ca="1">_xlfn.CONCAT(IFERROR(SUBSTITUTE(ADDRESS(1,MATCH(A342,INDIRECT("'"&amp;E342&amp;"'"&amp;"!A9:Z9"),0),4),1,""),""))</f>
        <v>E</v>
      </c>
      <c r="D342" s="1480" t="s">
        <v>1372</v>
      </c>
      <c r="E342" s="867" t="s">
        <v>208</v>
      </c>
      <c r="F342" s="1480"/>
      <c r="G342" s="1480"/>
      <c r="H342" s="1480"/>
      <c r="I342" s="1427" t="str">
        <f t="shared" si="38"/>
        <v>Exclude PIM Classes Below</v>
      </c>
      <c r="J342" s="1480" t="str">
        <f t="shared" si="40"/>
        <v>F311</v>
      </c>
      <c r="K342" s="1480" t="str">
        <f t="shared" si="39"/>
        <v>PIM Model</v>
      </c>
      <c r="L342" s="907" t="s">
        <v>465</v>
      </c>
      <c r="M342" s="1480">
        <v>311</v>
      </c>
      <c r="N342" s="1480"/>
      <c r="O342" s="1477"/>
      <c r="P342" s="1477"/>
      <c r="Q342" s="1477"/>
      <c r="R342" s="1477"/>
      <c r="S342" s="1477"/>
      <c r="T342" s="1477"/>
      <c r="U342" s="1477"/>
      <c r="V342" s="1477"/>
      <c r="W342" s="1477"/>
      <c r="X342" s="1477"/>
      <c r="Y342" s="1477"/>
      <c r="Z342" s="1477"/>
    </row>
    <row r="343" spans="1:26" hidden="1"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80"/>
      <c r="G343" s="1480"/>
      <c r="H343" s="1480"/>
      <c r="I343" s="1427" t="str">
        <f t="shared" si="38"/>
        <v>Special Pricing Code</v>
      </c>
      <c r="J343" s="1480" t="str">
        <f t="shared" si="40"/>
        <v>F312</v>
      </c>
      <c r="K343" s="1480" t="str">
        <f t="shared" si="39"/>
        <v>Pricing Schedule</v>
      </c>
      <c r="L343" s="907" t="s">
        <v>1292</v>
      </c>
      <c r="M343" s="1480">
        <v>312</v>
      </c>
      <c r="N343" s="1480"/>
      <c r="O343" s="1477"/>
      <c r="P343" s="1477"/>
      <c r="Q343" s="1477"/>
      <c r="R343" s="1477"/>
      <c r="S343" s="1477"/>
      <c r="T343" s="1477"/>
      <c r="U343" s="1477"/>
      <c r="V343" s="1477"/>
      <c r="W343" s="1477"/>
      <c r="X343" s="1477"/>
      <c r="Y343" s="1477"/>
      <c r="Z343" s="1477"/>
    </row>
    <row r="344" spans="1:26" hidden="1"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80"/>
      <c r="H344" s="1480"/>
      <c r="I344" s="1427" t="str">
        <f t="shared" si="38"/>
        <v>EB Markup Amt</v>
      </c>
      <c r="J344" s="1480" t="str">
        <f t="shared" si="40"/>
        <v>F313</v>
      </c>
      <c r="K344" s="1480" t="str">
        <f t="shared" si="39"/>
        <v>Pricing Schedule</v>
      </c>
      <c r="L344" s="907" t="s">
        <v>1294</v>
      </c>
      <c r="M344" s="1480">
        <v>313</v>
      </c>
      <c r="N344" s="1480"/>
      <c r="O344" s="1477"/>
      <c r="P344" s="1477"/>
      <c r="Q344" s="1477"/>
      <c r="R344" s="1477"/>
      <c r="S344" s="1477"/>
      <c r="T344" s="1477"/>
      <c r="U344" s="1477"/>
      <c r="V344" s="1477"/>
      <c r="W344" s="1477"/>
      <c r="X344" s="1477"/>
      <c r="Y344" s="1477"/>
      <c r="Z344" s="1477"/>
    </row>
    <row r="345" spans="1:26" hidden="1"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80"/>
      <c r="H345" s="1480"/>
      <c r="I345" s="1427" t="str">
        <f t="shared" si="38"/>
        <v>Min CS Markup Override Flag</v>
      </c>
      <c r="J345" s="1480" t="str">
        <f t="shared" si="40"/>
        <v>F314</v>
      </c>
      <c r="K345" s="1480" t="str">
        <f t="shared" si="39"/>
        <v>Pricing Schedule</v>
      </c>
      <c r="L345" s="907" t="s">
        <v>1295</v>
      </c>
      <c r="M345" s="1480">
        <v>314</v>
      </c>
      <c r="N345" s="1480"/>
      <c r="O345" s="1477"/>
      <c r="P345" s="1477"/>
      <c r="Q345" s="1477"/>
      <c r="R345" s="1477"/>
      <c r="S345" s="1477"/>
      <c r="T345" s="1477"/>
      <c r="U345" s="1477"/>
      <c r="V345" s="1477"/>
      <c r="W345" s="1477"/>
      <c r="X345" s="1477"/>
      <c r="Y345" s="1477"/>
      <c r="Z345" s="1477"/>
    </row>
    <row r="346" spans="1:26" hidden="1"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80"/>
      <c r="H346" s="1480"/>
      <c r="I346" s="1427" t="str">
        <f t="shared" si="38"/>
        <v>Min CS Markup Amt</v>
      </c>
      <c r="J346" s="1480" t="str">
        <f t="shared" si="40"/>
        <v>F315</v>
      </c>
      <c r="K346" s="1480" t="str">
        <f t="shared" si="39"/>
        <v>Pricing Schedule</v>
      </c>
      <c r="L346" s="907" t="s">
        <v>1296</v>
      </c>
      <c r="M346" s="1480">
        <v>315</v>
      </c>
      <c r="N346" s="1480"/>
      <c r="O346" s="1477"/>
      <c r="P346" s="1477"/>
      <c r="Q346" s="1477"/>
      <c r="R346" s="1477"/>
      <c r="S346" s="1477"/>
      <c r="T346" s="1477"/>
      <c r="U346" s="1477"/>
      <c r="V346" s="1477"/>
      <c r="W346" s="1477"/>
      <c r="X346" s="1477"/>
      <c r="Y346" s="1477"/>
      <c r="Z346" s="1477"/>
    </row>
    <row r="347" spans="1:26" hidden="1"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80"/>
      <c r="H347" s="1480"/>
      <c r="I347" s="1427" t="str">
        <f t="shared" si="38"/>
        <v>Split Case Fee Override Flag</v>
      </c>
      <c r="J347" s="1480" t="str">
        <f t="shared" si="40"/>
        <v>F316</v>
      </c>
      <c r="K347" s="1480" t="str">
        <f t="shared" si="39"/>
        <v>Pricing Schedule</v>
      </c>
      <c r="L347" s="907" t="s">
        <v>1297</v>
      </c>
      <c r="M347" s="1480">
        <v>316</v>
      </c>
      <c r="N347" s="1480"/>
      <c r="O347" s="1477"/>
      <c r="P347" s="1477"/>
      <c r="Q347" s="1477"/>
      <c r="R347" s="1477"/>
      <c r="S347" s="1477"/>
      <c r="T347" s="1477"/>
      <c r="U347" s="1477"/>
      <c r="V347" s="1477"/>
      <c r="W347" s="1477"/>
      <c r="X347" s="1477"/>
      <c r="Y347" s="1477"/>
      <c r="Z347" s="1477"/>
    </row>
    <row r="348" spans="1:26" hidden="1"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80"/>
      <c r="H348" s="1480"/>
      <c r="I348" s="1427" t="str">
        <f t="shared" si="38"/>
        <v>Split Case Fee</v>
      </c>
      <c r="J348" s="1480" t="str">
        <f t="shared" si="40"/>
        <v>F317</v>
      </c>
      <c r="K348" s="1480" t="str">
        <f t="shared" si="39"/>
        <v>Pricing Schedule</v>
      </c>
      <c r="L348" s="907" t="s">
        <v>1298</v>
      </c>
      <c r="M348" s="1480">
        <v>317</v>
      </c>
      <c r="N348" s="1480"/>
      <c r="O348" s="1477"/>
      <c r="P348" s="1477"/>
      <c r="Q348" s="1477"/>
      <c r="R348" s="1477"/>
      <c r="S348" s="1477"/>
      <c r="T348" s="1477"/>
      <c r="U348" s="1477"/>
      <c r="V348" s="1477"/>
      <c r="W348" s="1477"/>
      <c r="X348" s="1477"/>
      <c r="Y348" s="1477"/>
      <c r="Z348" s="1477"/>
    </row>
    <row r="349" spans="1:26" hidden="1"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80"/>
      <c r="H349" s="1480"/>
      <c r="I349" s="1427" t="str">
        <f t="shared" si="38"/>
        <v>Split Case Per</v>
      </c>
      <c r="J349" s="1480" t="str">
        <f t="shared" si="40"/>
        <v>F318</v>
      </c>
      <c r="K349" s="1480" t="str">
        <f t="shared" si="39"/>
        <v>Pricing Schedule</v>
      </c>
      <c r="L349" s="907" t="s">
        <v>1238</v>
      </c>
      <c r="M349" s="1480">
        <v>318</v>
      </c>
      <c r="N349" s="1480"/>
      <c r="O349" s="1477"/>
      <c r="P349" s="1477"/>
      <c r="Q349" s="1477"/>
      <c r="R349" s="1477"/>
      <c r="S349" s="1477"/>
      <c r="T349" s="1477"/>
      <c r="U349" s="1477"/>
      <c r="V349" s="1477"/>
      <c r="W349" s="1477"/>
      <c r="X349" s="1477"/>
      <c r="Y349" s="1477"/>
      <c r="Z349" s="1477"/>
    </row>
    <row r="350" spans="1:26" hidden="1"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80"/>
      <c r="G350" s="1480"/>
      <c r="H350" s="1480"/>
      <c r="I350" s="1427" t="str">
        <f t="shared" si="38"/>
        <v/>
      </c>
      <c r="J350" s="1480"/>
      <c r="K350" s="1480" t="str">
        <f t="shared" si="39"/>
        <v/>
      </c>
      <c r="L350" s="907" t="s">
        <v>1299</v>
      </c>
      <c r="M350" s="1480">
        <v>319</v>
      </c>
      <c r="N350" s="1480"/>
      <c r="O350" s="1477"/>
      <c r="P350" s="1477"/>
      <c r="Q350" s="1477"/>
      <c r="R350" s="1477"/>
      <c r="S350" s="1477"/>
      <c r="T350" s="1477"/>
      <c r="U350" s="1477"/>
      <c r="V350" s="1477"/>
      <c r="W350" s="1477"/>
      <c r="X350" s="1477"/>
      <c r="Y350" s="1477"/>
      <c r="Z350" s="1477"/>
    </row>
    <row r="351" spans="1:26" hidden="1"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80"/>
      <c r="G351" s="1480"/>
      <c r="H351" s="1480"/>
      <c r="I351" s="1427" t="str">
        <f t="shared" si="38"/>
        <v/>
      </c>
      <c r="J351" s="1480"/>
      <c r="K351" s="1480" t="str">
        <f t="shared" si="39"/>
        <v/>
      </c>
      <c r="L351" s="907" t="s">
        <v>253</v>
      </c>
      <c r="M351" s="1480">
        <v>320</v>
      </c>
      <c r="N351" s="1480"/>
      <c r="O351" s="1477"/>
      <c r="P351" s="1477"/>
      <c r="Q351" s="1477"/>
      <c r="R351" s="1477"/>
      <c r="S351" s="1477"/>
      <c r="T351" s="1477"/>
      <c r="U351" s="1477"/>
      <c r="V351" s="1477"/>
      <c r="W351" s="1477"/>
      <c r="X351" s="1477"/>
      <c r="Y351" s="1477"/>
      <c r="Z351" s="1477"/>
    </row>
    <row r="352" spans="1:26" hidden="1"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80"/>
      <c r="G352" s="1480"/>
      <c r="H352" s="1480"/>
      <c r="I352" s="1427" t="str">
        <f t="shared" si="38"/>
        <v/>
      </c>
      <c r="J352" s="1480"/>
      <c r="K352" s="1480" t="str">
        <f t="shared" si="39"/>
        <v/>
      </c>
      <c r="L352" s="907" t="s">
        <v>1256</v>
      </c>
      <c r="M352" s="1480">
        <v>321</v>
      </c>
      <c r="N352" s="1480"/>
      <c r="O352" s="1477"/>
      <c r="P352" s="1477"/>
      <c r="Q352" s="1477"/>
      <c r="R352" s="1477"/>
      <c r="S352" s="1477"/>
      <c r="T352" s="1477"/>
      <c r="U352" s="1477"/>
      <c r="V352" s="1477"/>
      <c r="W352" s="1477"/>
      <c r="X352" s="1477"/>
      <c r="Y352" s="1477"/>
      <c r="Z352" s="1477"/>
    </row>
    <row r="353" spans="1:26" hidden="1"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80"/>
      <c r="G353" s="1480"/>
      <c r="H353" s="1480"/>
      <c r="I353" s="1427" t="str">
        <f t="shared" si="38"/>
        <v/>
      </c>
      <c r="J353" s="1480"/>
      <c r="K353" s="1480" t="str">
        <f t="shared" si="39"/>
        <v/>
      </c>
      <c r="L353" s="907" t="s">
        <v>225</v>
      </c>
      <c r="M353" s="1480">
        <v>322</v>
      </c>
      <c r="N353" s="1480"/>
      <c r="O353" s="1477"/>
      <c r="P353" s="1477"/>
      <c r="Q353" s="1477"/>
      <c r="R353" s="1477"/>
      <c r="S353" s="1477"/>
      <c r="T353" s="1477"/>
      <c r="U353" s="1477"/>
      <c r="V353" s="1477"/>
      <c r="W353" s="1477"/>
      <c r="X353" s="1477"/>
      <c r="Y353" s="1477"/>
      <c r="Z353" s="1477"/>
    </row>
    <row r="354" spans="1:26" hidden="1" x14ac:dyDescent="0.25">
      <c r="A354" s="930" t="s">
        <v>465</v>
      </c>
      <c r="B354" s="1427" t="str">
        <f ca="1">_xlfn.CONCAT(IFERROR(SUBSTITUTE(ADDRESS(1,MATCH(A354,INDIRECT("'"&amp;E354&amp;"'"&amp;"!A9:Z9"),0),4),1,""),""),16)</f>
        <v>E16</v>
      </c>
      <c r="C354" s="1427" t="str">
        <f ca="1">_xlfn.CONCAT(IFERROR(SUBSTITUTE(ADDRESS(1,MATCH(A354,INDIRECT("'"&amp;E354&amp;"'"&amp;"!A9:Z9"),0),4),1,""),""))</f>
        <v>E</v>
      </c>
      <c r="D354" s="1480" t="s">
        <v>1372</v>
      </c>
      <c r="E354" s="867" t="s">
        <v>208</v>
      </c>
      <c r="F354" s="1480"/>
      <c r="G354" s="1480"/>
      <c r="H354" s="1480"/>
      <c r="I354" s="1427" t="str">
        <f t="shared" si="38"/>
        <v>Exclude PIM Classes Below</v>
      </c>
      <c r="J354" s="1480" t="str">
        <f t="shared" si="40"/>
        <v>F323</v>
      </c>
      <c r="K354" s="1480" t="str">
        <f t="shared" si="39"/>
        <v>PIM Model</v>
      </c>
      <c r="L354" s="907" t="s">
        <v>465</v>
      </c>
      <c r="M354" s="1480">
        <v>323</v>
      </c>
      <c r="N354" s="1480"/>
      <c r="O354" s="1477"/>
      <c r="P354" s="1477"/>
      <c r="Q354" s="1477"/>
      <c r="R354" s="1477"/>
      <c r="S354" s="1477"/>
      <c r="T354" s="1477"/>
      <c r="U354" s="1477"/>
      <c r="V354" s="1477"/>
      <c r="W354" s="1477"/>
      <c r="X354" s="1477"/>
      <c r="Y354" s="1477"/>
      <c r="Z354" s="1477"/>
    </row>
    <row r="355" spans="1:26" hidden="1"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80"/>
      <c r="G355" s="1480"/>
      <c r="H355" s="1480"/>
      <c r="I355" s="1427" t="str">
        <f t="shared" si="38"/>
        <v>Special Pricing Code</v>
      </c>
      <c r="J355" s="1480" t="str">
        <f t="shared" si="40"/>
        <v>F324</v>
      </c>
      <c r="K355" s="1480" t="str">
        <f t="shared" si="39"/>
        <v>Pricing Schedule</v>
      </c>
      <c r="L355" s="907" t="s">
        <v>1292</v>
      </c>
      <c r="M355" s="1480">
        <v>324</v>
      </c>
      <c r="N355" s="1480"/>
      <c r="O355" s="1477"/>
      <c r="P355" s="1477"/>
      <c r="Q355" s="1477"/>
      <c r="R355" s="1477"/>
      <c r="S355" s="1477"/>
      <c r="T355" s="1477"/>
      <c r="U355" s="1477"/>
      <c r="V355" s="1477"/>
      <c r="W355" s="1477"/>
      <c r="X355" s="1477"/>
      <c r="Y355" s="1477"/>
      <c r="Z355" s="1477"/>
    </row>
    <row r="356" spans="1:26" hidden="1"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80"/>
      <c r="H356" s="1480"/>
      <c r="I356" s="1427" t="str">
        <f t="shared" si="38"/>
        <v>EB Markup Amt</v>
      </c>
      <c r="J356" s="1480" t="str">
        <f t="shared" si="40"/>
        <v>F325</v>
      </c>
      <c r="K356" s="1480" t="str">
        <f t="shared" si="39"/>
        <v>Pricing Schedule</v>
      </c>
      <c r="L356" s="907" t="s">
        <v>1294</v>
      </c>
      <c r="M356" s="1480">
        <v>325</v>
      </c>
      <c r="N356" s="1480"/>
      <c r="O356" s="1477"/>
      <c r="P356" s="1477"/>
      <c r="Q356" s="1477"/>
      <c r="R356" s="1477"/>
      <c r="S356" s="1477"/>
      <c r="T356" s="1477"/>
      <c r="U356" s="1477"/>
      <c r="V356" s="1477"/>
      <c r="W356" s="1477"/>
      <c r="X356" s="1477"/>
      <c r="Y356" s="1477"/>
      <c r="Z356" s="1477"/>
    </row>
    <row r="357" spans="1:26" hidden="1"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80"/>
      <c r="H357" s="1480"/>
      <c r="I357" s="1427" t="str">
        <f t="shared" si="38"/>
        <v>Min CS Markup Override Flag</v>
      </c>
      <c r="J357" s="1480" t="str">
        <f t="shared" si="40"/>
        <v>F326</v>
      </c>
      <c r="K357" s="1480" t="str">
        <f t="shared" si="39"/>
        <v>Pricing Schedule</v>
      </c>
      <c r="L357" s="907" t="s">
        <v>1295</v>
      </c>
      <c r="M357" s="1480">
        <v>326</v>
      </c>
      <c r="N357" s="1480"/>
      <c r="O357" s="1477"/>
      <c r="P357" s="1477"/>
      <c r="Q357" s="1477"/>
      <c r="R357" s="1477"/>
      <c r="S357" s="1477"/>
      <c r="T357" s="1477"/>
      <c r="U357" s="1477"/>
      <c r="V357" s="1477"/>
      <c r="W357" s="1477"/>
      <c r="X357" s="1477"/>
      <c r="Y357" s="1477"/>
      <c r="Z357" s="1477"/>
    </row>
    <row r="358" spans="1:26" hidden="1"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80"/>
      <c r="H358" s="1480"/>
      <c r="I358" s="1427" t="str">
        <f t="shared" si="38"/>
        <v>Min CS Markup Amt</v>
      </c>
      <c r="J358" s="1480" t="str">
        <f t="shared" si="40"/>
        <v>F327</v>
      </c>
      <c r="K358" s="1480" t="str">
        <f t="shared" si="39"/>
        <v>Pricing Schedule</v>
      </c>
      <c r="L358" s="907" t="s">
        <v>1296</v>
      </c>
      <c r="M358" s="1480">
        <v>327</v>
      </c>
      <c r="N358" s="1480"/>
      <c r="O358" s="1477"/>
      <c r="P358" s="1477"/>
      <c r="Q358" s="1477"/>
      <c r="R358" s="1477"/>
      <c r="S358" s="1477"/>
      <c r="T358" s="1477"/>
      <c r="U358" s="1477"/>
      <c r="V358" s="1477"/>
      <c r="W358" s="1477"/>
      <c r="X358" s="1477"/>
      <c r="Y358" s="1477"/>
      <c r="Z358" s="1477"/>
    </row>
    <row r="359" spans="1:26" hidden="1"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80"/>
      <c r="H359" s="1480"/>
      <c r="I359" s="1427" t="str">
        <f t="shared" si="38"/>
        <v>Split Case Fee Override Flag</v>
      </c>
      <c r="J359" s="1480" t="str">
        <f t="shared" si="40"/>
        <v>F328</v>
      </c>
      <c r="K359" s="1480" t="str">
        <f t="shared" si="39"/>
        <v>Pricing Schedule</v>
      </c>
      <c r="L359" s="907" t="s">
        <v>1297</v>
      </c>
      <c r="M359" s="1480">
        <v>328</v>
      </c>
      <c r="N359" s="1480"/>
      <c r="O359" s="1477"/>
      <c r="P359" s="1477"/>
      <c r="Q359" s="1477"/>
      <c r="R359" s="1477"/>
      <c r="S359" s="1477"/>
      <c r="T359" s="1477"/>
      <c r="U359" s="1477"/>
      <c r="V359" s="1477"/>
      <c r="W359" s="1477"/>
      <c r="X359" s="1477"/>
      <c r="Y359" s="1477"/>
      <c r="Z359" s="1477"/>
    </row>
    <row r="360" spans="1:26" hidden="1"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80"/>
      <c r="H360" s="1480"/>
      <c r="I360" s="1427" t="str">
        <f t="shared" si="38"/>
        <v>Split Case Fee</v>
      </c>
      <c r="J360" s="1480" t="str">
        <f t="shared" si="40"/>
        <v>F329</v>
      </c>
      <c r="K360" s="1480" t="str">
        <f t="shared" si="39"/>
        <v>Pricing Schedule</v>
      </c>
      <c r="L360" s="907" t="s">
        <v>1298</v>
      </c>
      <c r="M360" s="1480">
        <v>329</v>
      </c>
      <c r="N360" s="1480"/>
      <c r="O360" s="1477"/>
      <c r="P360" s="1477"/>
      <c r="Q360" s="1477"/>
      <c r="R360" s="1477"/>
      <c r="S360" s="1477"/>
      <c r="T360" s="1477"/>
      <c r="U360" s="1477"/>
      <c r="V360" s="1477"/>
      <c r="W360" s="1477"/>
      <c r="X360" s="1477"/>
      <c r="Y360" s="1477"/>
      <c r="Z360" s="1477"/>
    </row>
    <row r="361" spans="1:26" hidden="1"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80"/>
      <c r="H361" s="1480"/>
      <c r="I361" s="1427" t="str">
        <f t="shared" si="38"/>
        <v>Split Case Per</v>
      </c>
      <c r="J361" s="1480" t="str">
        <f t="shared" si="40"/>
        <v>F330</v>
      </c>
      <c r="K361" s="1480" t="str">
        <f t="shared" si="39"/>
        <v>Pricing Schedule</v>
      </c>
      <c r="L361" s="907" t="s">
        <v>1238</v>
      </c>
      <c r="M361" s="1480">
        <v>330</v>
      </c>
      <c r="N361" s="1480"/>
      <c r="O361" s="1477"/>
      <c r="P361" s="1477"/>
      <c r="Q361" s="1477"/>
      <c r="R361" s="1477"/>
      <c r="S361" s="1477"/>
      <c r="T361" s="1477"/>
      <c r="U361" s="1477"/>
      <c r="V361" s="1477"/>
      <c r="W361" s="1477"/>
      <c r="X361" s="1477"/>
      <c r="Y361" s="1477"/>
      <c r="Z361" s="1477"/>
    </row>
    <row r="362" spans="1:26" hidden="1"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80"/>
      <c r="G362" s="1480"/>
      <c r="H362" s="1480"/>
      <c r="I362" s="1427" t="str">
        <f t="shared" si="38"/>
        <v/>
      </c>
      <c r="J362" s="1480"/>
      <c r="K362" s="1480" t="str">
        <f t="shared" si="39"/>
        <v/>
      </c>
      <c r="L362" s="907" t="s">
        <v>1299</v>
      </c>
      <c r="M362" s="1480">
        <v>331</v>
      </c>
      <c r="N362" s="1480"/>
      <c r="O362" s="1477"/>
      <c r="P362" s="1477"/>
      <c r="Q362" s="1477"/>
      <c r="R362" s="1477"/>
      <c r="S362" s="1477"/>
      <c r="T362" s="1477"/>
      <c r="U362" s="1477"/>
      <c r="V362" s="1477"/>
      <c r="W362" s="1477"/>
      <c r="X362" s="1477"/>
      <c r="Y362" s="1477"/>
      <c r="Z362" s="1477"/>
    </row>
    <row r="363" spans="1:26" hidden="1"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80"/>
      <c r="G363" s="1480"/>
      <c r="H363" s="1480"/>
      <c r="I363" s="1427" t="str">
        <f t="shared" si="38"/>
        <v/>
      </c>
      <c r="J363" s="1480"/>
      <c r="K363" s="1480" t="str">
        <f t="shared" si="39"/>
        <v/>
      </c>
      <c r="L363" s="907" t="s">
        <v>253</v>
      </c>
      <c r="M363" s="1480">
        <v>332</v>
      </c>
      <c r="N363" s="1480"/>
      <c r="O363" s="1477"/>
      <c r="P363" s="1477"/>
      <c r="Q363" s="1477"/>
      <c r="R363" s="1477"/>
      <c r="S363" s="1477"/>
      <c r="T363" s="1477"/>
      <c r="U363" s="1477"/>
      <c r="V363" s="1477"/>
      <c r="W363" s="1477"/>
      <c r="X363" s="1477"/>
      <c r="Y363" s="1477"/>
      <c r="Z363" s="1477"/>
    </row>
    <row r="364" spans="1:26" hidden="1"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80"/>
      <c r="G364" s="1480"/>
      <c r="H364" s="1480"/>
      <c r="I364" s="1427" t="str">
        <f t="shared" si="38"/>
        <v/>
      </c>
      <c r="J364" s="1480"/>
      <c r="K364" s="1480" t="str">
        <f t="shared" si="39"/>
        <v/>
      </c>
      <c r="L364" s="907" t="s">
        <v>1256</v>
      </c>
      <c r="M364" s="1480">
        <v>333</v>
      </c>
      <c r="N364" s="1480"/>
      <c r="O364" s="1477"/>
      <c r="P364" s="1477"/>
      <c r="Q364" s="1477"/>
      <c r="R364" s="1477"/>
      <c r="S364" s="1477"/>
      <c r="T364" s="1477"/>
      <c r="U364" s="1477"/>
      <c r="V364" s="1477"/>
      <c r="W364" s="1477"/>
      <c r="X364" s="1477"/>
      <c r="Y364" s="1477"/>
      <c r="Z364" s="1477"/>
    </row>
    <row r="365" spans="1:26" hidden="1"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80"/>
      <c r="G365" s="1480"/>
      <c r="H365" s="1480"/>
      <c r="I365" s="1427" t="str">
        <f t="shared" si="38"/>
        <v/>
      </c>
      <c r="J365" s="1480"/>
      <c r="K365" s="1480" t="str">
        <f t="shared" si="39"/>
        <v/>
      </c>
      <c r="L365" s="907" t="s">
        <v>225</v>
      </c>
      <c r="M365" s="1480">
        <v>334</v>
      </c>
      <c r="N365" s="1480"/>
      <c r="O365" s="1477"/>
      <c r="P365" s="1477"/>
      <c r="Q365" s="1477"/>
      <c r="R365" s="1477"/>
      <c r="S365" s="1477"/>
      <c r="T365" s="1477"/>
      <c r="U365" s="1477"/>
      <c r="V365" s="1477"/>
      <c r="W365" s="1477"/>
      <c r="X365" s="1477"/>
      <c r="Y365" s="1477"/>
      <c r="Z365" s="1477"/>
    </row>
    <row r="366" spans="1:26" hidden="1" x14ac:dyDescent="0.25">
      <c r="A366" s="933" t="s">
        <v>465</v>
      </c>
      <c r="B366" s="1427" t="str">
        <f ca="1">_xlfn.CONCAT(IFERROR(SUBSTITUTE(ADDRESS(1,MATCH(A366,INDIRECT("'"&amp;E366&amp;"'"&amp;"!A9:Z9"),0),4),1,""),""),17)</f>
        <v>E17</v>
      </c>
      <c r="C366" s="1427" t="str">
        <f ca="1">_xlfn.CONCAT(IFERROR(SUBSTITUTE(ADDRESS(1,MATCH(A366,INDIRECT("'"&amp;E366&amp;"'"&amp;"!A9:Z9"),0),4),1,""),""))</f>
        <v>E</v>
      </c>
      <c r="D366" s="1480" t="s">
        <v>1372</v>
      </c>
      <c r="E366" s="867" t="s">
        <v>208</v>
      </c>
      <c r="F366" s="1480"/>
      <c r="G366" s="1480"/>
      <c r="H366" s="1480"/>
      <c r="I366" s="1427" t="str">
        <f t="shared" si="38"/>
        <v>Exclude PIM Classes Below</v>
      </c>
      <c r="J366" s="1480" t="str">
        <f t="shared" si="40"/>
        <v>F335</v>
      </c>
      <c r="K366" s="1480" t="str">
        <f t="shared" si="39"/>
        <v>PIM Model</v>
      </c>
      <c r="L366" s="907" t="s">
        <v>465</v>
      </c>
      <c r="M366" s="1480">
        <v>335</v>
      </c>
      <c r="N366" s="1480"/>
      <c r="O366" s="1477"/>
      <c r="P366" s="1477"/>
      <c r="Q366" s="1477"/>
      <c r="R366" s="1477"/>
      <c r="S366" s="1477"/>
      <c r="T366" s="1477"/>
      <c r="U366" s="1477"/>
      <c r="V366" s="1477"/>
      <c r="W366" s="1477"/>
      <c r="X366" s="1477"/>
      <c r="Y366" s="1477"/>
      <c r="Z366" s="1477"/>
    </row>
    <row r="367" spans="1:26" hidden="1"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80"/>
      <c r="G367" s="1480"/>
      <c r="H367" s="1480"/>
      <c r="I367" s="1427" t="str">
        <f t="shared" si="38"/>
        <v>Special Pricing Code</v>
      </c>
      <c r="J367" s="1480" t="str">
        <f t="shared" si="40"/>
        <v>F336</v>
      </c>
      <c r="K367" s="1480" t="str">
        <f t="shared" si="39"/>
        <v>Pricing Schedule</v>
      </c>
      <c r="L367" s="907" t="s">
        <v>1292</v>
      </c>
      <c r="M367" s="1480">
        <v>336</v>
      </c>
      <c r="N367" s="1480"/>
      <c r="O367" s="1477"/>
      <c r="P367" s="1477"/>
      <c r="Q367" s="1477"/>
      <c r="R367" s="1477"/>
      <c r="S367" s="1477"/>
      <c r="T367" s="1477"/>
      <c r="U367" s="1477"/>
      <c r="V367" s="1477"/>
      <c r="W367" s="1477"/>
      <c r="X367" s="1477"/>
      <c r="Y367" s="1477"/>
      <c r="Z367" s="1477"/>
    </row>
    <row r="368" spans="1:26" hidden="1"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80"/>
      <c r="H368" s="1480"/>
      <c r="I368" s="1427" t="str">
        <f t="shared" si="38"/>
        <v>EB Markup Amt</v>
      </c>
      <c r="J368" s="1480" t="str">
        <f t="shared" si="40"/>
        <v>F337</v>
      </c>
      <c r="K368" s="1480" t="str">
        <f t="shared" si="39"/>
        <v>Pricing Schedule</v>
      </c>
      <c r="L368" s="907" t="s">
        <v>1294</v>
      </c>
      <c r="M368" s="1480">
        <v>337</v>
      </c>
      <c r="N368" s="1480"/>
      <c r="O368" s="1477"/>
      <c r="P368" s="1477"/>
      <c r="Q368" s="1477"/>
      <c r="R368" s="1477"/>
      <c r="S368" s="1477"/>
      <c r="T368" s="1477"/>
      <c r="U368" s="1477"/>
      <c r="V368" s="1477"/>
      <c r="W368" s="1477"/>
      <c r="X368" s="1477"/>
      <c r="Y368" s="1477"/>
      <c r="Z368" s="1477"/>
    </row>
    <row r="369" spans="1:26" hidden="1"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80"/>
      <c r="H369" s="1480"/>
      <c r="I369" s="1427" t="str">
        <f t="shared" si="38"/>
        <v>Min CS Markup Override Flag</v>
      </c>
      <c r="J369" s="1480" t="str">
        <f t="shared" si="40"/>
        <v>F338</v>
      </c>
      <c r="K369" s="1480" t="str">
        <f t="shared" si="39"/>
        <v>Pricing Schedule</v>
      </c>
      <c r="L369" s="907" t="s">
        <v>1295</v>
      </c>
      <c r="M369" s="1480">
        <v>338</v>
      </c>
      <c r="N369" s="1480"/>
      <c r="O369" s="1477"/>
      <c r="P369" s="1477"/>
      <c r="Q369" s="1477"/>
      <c r="R369" s="1477"/>
      <c r="S369" s="1477"/>
      <c r="T369" s="1477"/>
      <c r="U369" s="1477"/>
      <c r="V369" s="1477"/>
      <c r="W369" s="1477"/>
      <c r="X369" s="1477"/>
      <c r="Y369" s="1477"/>
      <c r="Z369" s="1477"/>
    </row>
    <row r="370" spans="1:26" hidden="1"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80"/>
      <c r="H370" s="1480"/>
      <c r="I370" s="1427" t="str">
        <f t="shared" si="38"/>
        <v>Min CS Markup Amt</v>
      </c>
      <c r="J370" s="1480" t="str">
        <f t="shared" si="40"/>
        <v>F339</v>
      </c>
      <c r="K370" s="1480" t="str">
        <f t="shared" si="39"/>
        <v>Pricing Schedule</v>
      </c>
      <c r="L370" s="907" t="s">
        <v>1296</v>
      </c>
      <c r="M370" s="1480">
        <v>339</v>
      </c>
      <c r="N370" s="1480"/>
      <c r="O370" s="1477"/>
      <c r="P370" s="1477"/>
      <c r="Q370" s="1477"/>
      <c r="R370" s="1477"/>
      <c r="S370" s="1477"/>
      <c r="T370" s="1477"/>
      <c r="U370" s="1477"/>
      <c r="V370" s="1477"/>
      <c r="W370" s="1477"/>
      <c r="X370" s="1477"/>
      <c r="Y370" s="1477"/>
      <c r="Z370" s="1477"/>
    </row>
    <row r="371" spans="1:26" hidden="1"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80"/>
      <c r="H371" s="1480"/>
      <c r="I371" s="1427" t="str">
        <f t="shared" si="38"/>
        <v>Split Case Fee Override Flag</v>
      </c>
      <c r="J371" s="1480" t="str">
        <f t="shared" si="40"/>
        <v>F340</v>
      </c>
      <c r="K371" s="1480" t="str">
        <f t="shared" si="39"/>
        <v>Pricing Schedule</v>
      </c>
      <c r="L371" s="907" t="s">
        <v>1297</v>
      </c>
      <c r="M371" s="1480">
        <v>340</v>
      </c>
      <c r="N371" s="1480"/>
      <c r="O371" s="1477"/>
      <c r="P371" s="1477"/>
      <c r="Q371" s="1477"/>
      <c r="R371" s="1477"/>
      <c r="S371" s="1477"/>
      <c r="T371" s="1477"/>
      <c r="U371" s="1477"/>
      <c r="V371" s="1477"/>
      <c r="W371" s="1477"/>
      <c r="X371" s="1477"/>
      <c r="Y371" s="1477"/>
      <c r="Z371" s="1477"/>
    </row>
    <row r="372" spans="1:26" hidden="1"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80"/>
      <c r="H372" s="1480"/>
      <c r="I372" s="1427" t="str">
        <f t="shared" si="38"/>
        <v>Split Case Fee</v>
      </c>
      <c r="J372" s="1480" t="str">
        <f t="shared" si="40"/>
        <v>F341</v>
      </c>
      <c r="K372" s="1480" t="str">
        <f t="shared" si="39"/>
        <v>Pricing Schedule</v>
      </c>
      <c r="L372" s="907" t="s">
        <v>1298</v>
      </c>
      <c r="M372" s="1480">
        <v>341</v>
      </c>
      <c r="N372" s="1480"/>
      <c r="O372" s="1477"/>
      <c r="P372" s="1477"/>
      <c r="Q372" s="1477"/>
      <c r="R372" s="1477"/>
      <c r="S372" s="1477"/>
      <c r="T372" s="1477"/>
      <c r="U372" s="1477"/>
      <c r="V372" s="1477"/>
      <c r="W372" s="1477"/>
      <c r="X372" s="1477"/>
      <c r="Y372" s="1477"/>
      <c r="Z372" s="1477"/>
    </row>
    <row r="373" spans="1:26" hidden="1"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80"/>
      <c r="H373" s="1480"/>
      <c r="I373" s="1427" t="str">
        <f t="shared" si="38"/>
        <v>Split Case Per</v>
      </c>
      <c r="J373" s="1480" t="str">
        <f t="shared" si="40"/>
        <v>F342</v>
      </c>
      <c r="K373" s="1480" t="str">
        <f t="shared" si="39"/>
        <v>Pricing Schedule</v>
      </c>
      <c r="L373" s="907" t="s">
        <v>1238</v>
      </c>
      <c r="M373" s="1480">
        <v>342</v>
      </c>
      <c r="N373" s="1480"/>
      <c r="O373" s="1477"/>
      <c r="P373" s="1477"/>
      <c r="Q373" s="1477"/>
      <c r="R373" s="1477"/>
      <c r="S373" s="1477"/>
      <c r="T373" s="1477"/>
      <c r="U373" s="1477"/>
      <c r="V373" s="1477"/>
      <c r="W373" s="1477"/>
      <c r="X373" s="1477"/>
      <c r="Y373" s="1477"/>
      <c r="Z373" s="1477"/>
    </row>
    <row r="374" spans="1:26" hidden="1"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80"/>
      <c r="G374" s="1480"/>
      <c r="H374" s="1480"/>
      <c r="I374" s="1427" t="str">
        <f t="shared" si="38"/>
        <v/>
      </c>
      <c r="J374" s="1480"/>
      <c r="K374" s="1480" t="str">
        <f t="shared" si="39"/>
        <v/>
      </c>
      <c r="L374" s="907" t="s">
        <v>1299</v>
      </c>
      <c r="M374" s="1480">
        <v>343</v>
      </c>
      <c r="N374" s="1480"/>
      <c r="O374" s="1477"/>
      <c r="P374" s="1477"/>
      <c r="Q374" s="1477"/>
      <c r="R374" s="1477"/>
      <c r="S374" s="1477"/>
      <c r="T374" s="1477"/>
      <c r="U374" s="1477"/>
      <c r="V374" s="1477"/>
      <c r="W374" s="1477"/>
      <c r="X374" s="1477"/>
      <c r="Y374" s="1477"/>
      <c r="Z374" s="1477"/>
    </row>
    <row r="375" spans="1:26" hidden="1"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80"/>
      <c r="G375" s="1480"/>
      <c r="H375" s="1480"/>
      <c r="I375" s="1427" t="str">
        <f t="shared" si="38"/>
        <v/>
      </c>
      <c r="J375" s="1480"/>
      <c r="K375" s="1480" t="str">
        <f t="shared" si="39"/>
        <v/>
      </c>
      <c r="L375" s="907" t="s">
        <v>253</v>
      </c>
      <c r="M375" s="1480">
        <v>344</v>
      </c>
      <c r="N375" s="1480"/>
      <c r="O375" s="1477"/>
      <c r="P375" s="1477"/>
      <c r="Q375" s="1477"/>
      <c r="R375" s="1477"/>
      <c r="S375" s="1477"/>
      <c r="T375" s="1477"/>
      <c r="U375" s="1477"/>
      <c r="V375" s="1477"/>
      <c r="W375" s="1477"/>
      <c r="X375" s="1477"/>
      <c r="Y375" s="1477"/>
      <c r="Z375" s="1477"/>
    </row>
    <row r="376" spans="1:26" hidden="1"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80"/>
      <c r="G376" s="1480"/>
      <c r="H376" s="1480"/>
      <c r="I376" s="1427" t="str">
        <f t="shared" si="38"/>
        <v/>
      </c>
      <c r="J376" s="1480"/>
      <c r="K376" s="1480" t="str">
        <f t="shared" si="39"/>
        <v/>
      </c>
      <c r="L376" s="907" t="s">
        <v>1256</v>
      </c>
      <c r="M376" s="1480">
        <v>345</v>
      </c>
      <c r="N376" s="1480"/>
      <c r="O376" s="1477"/>
      <c r="P376" s="1477"/>
      <c r="Q376" s="1477"/>
      <c r="R376" s="1477"/>
      <c r="S376" s="1477"/>
      <c r="T376" s="1477"/>
      <c r="U376" s="1477"/>
      <c r="V376" s="1477"/>
      <c r="W376" s="1477"/>
      <c r="X376" s="1477"/>
      <c r="Y376" s="1477"/>
      <c r="Z376" s="1477"/>
    </row>
    <row r="377" spans="1:26" hidden="1"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80"/>
      <c r="G377" s="1480"/>
      <c r="H377" s="1480"/>
      <c r="I377" s="1427" t="str">
        <f t="shared" si="38"/>
        <v/>
      </c>
      <c r="J377" s="1480"/>
      <c r="K377" s="1480" t="str">
        <f t="shared" si="39"/>
        <v/>
      </c>
      <c r="L377" s="907" t="s">
        <v>225</v>
      </c>
      <c r="M377" s="1480">
        <v>346</v>
      </c>
      <c r="N377" s="1480"/>
      <c r="O377" s="1477"/>
      <c r="P377" s="1477"/>
      <c r="Q377" s="1477"/>
      <c r="R377" s="1477"/>
      <c r="S377" s="1477"/>
      <c r="T377" s="1477"/>
      <c r="U377" s="1477"/>
      <c r="V377" s="1477"/>
      <c r="W377" s="1477"/>
      <c r="X377" s="1477"/>
      <c r="Y377" s="1477"/>
      <c r="Z377" s="1477"/>
    </row>
    <row r="378" spans="1:26" hidden="1" x14ac:dyDescent="0.25">
      <c r="A378" s="930" t="s">
        <v>465</v>
      </c>
      <c r="B378" s="1427" t="str">
        <f ca="1">_xlfn.CONCAT(IFERROR(SUBSTITUTE(ADDRESS(1,MATCH(A378,INDIRECT("'"&amp;E378&amp;"'"&amp;"!A9:Z9"),0),4),1,""),""),18)</f>
        <v>E18</v>
      </c>
      <c r="C378" s="1427" t="str">
        <f ca="1">_xlfn.CONCAT(IFERROR(SUBSTITUTE(ADDRESS(1,MATCH(A378,INDIRECT("'"&amp;E378&amp;"'"&amp;"!A9:Z9"),0),4),1,""),""))</f>
        <v>E</v>
      </c>
      <c r="D378" s="1480" t="s">
        <v>1372</v>
      </c>
      <c r="E378" s="867" t="s">
        <v>208</v>
      </c>
      <c r="F378" s="1480"/>
      <c r="G378" s="1480"/>
      <c r="H378" s="1480"/>
      <c r="I378" s="1427" t="str">
        <f t="shared" si="38"/>
        <v>Exclude PIM Classes Below</v>
      </c>
      <c r="J378" s="1480" t="str">
        <f t="shared" si="40"/>
        <v>F347</v>
      </c>
      <c r="K378" s="1480" t="str">
        <f t="shared" si="39"/>
        <v>PIM Model</v>
      </c>
      <c r="L378" s="907" t="s">
        <v>465</v>
      </c>
      <c r="M378" s="1480">
        <v>347</v>
      </c>
      <c r="N378" s="1480"/>
      <c r="O378" s="1477"/>
      <c r="P378" s="1477"/>
      <c r="Q378" s="1477"/>
      <c r="R378" s="1477"/>
      <c r="S378" s="1477"/>
      <c r="T378" s="1477"/>
      <c r="U378" s="1477"/>
      <c r="V378" s="1477"/>
      <c r="W378" s="1477"/>
      <c r="X378" s="1477"/>
      <c r="Y378" s="1477"/>
      <c r="Z378" s="1477"/>
    </row>
    <row r="379" spans="1:26" hidden="1"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80"/>
      <c r="G379" s="1480"/>
      <c r="H379" s="1480"/>
      <c r="I379" s="1427" t="str">
        <f t="shared" si="38"/>
        <v>Special Pricing Code</v>
      </c>
      <c r="J379" s="1480" t="str">
        <f t="shared" si="40"/>
        <v>F348</v>
      </c>
      <c r="K379" s="1480" t="str">
        <f t="shared" si="39"/>
        <v>Pricing Schedule</v>
      </c>
      <c r="L379" s="907" t="s">
        <v>1292</v>
      </c>
      <c r="M379" s="1480">
        <v>348</v>
      </c>
      <c r="N379" s="1480"/>
      <c r="O379" s="1477"/>
      <c r="P379" s="1477"/>
      <c r="Q379" s="1477"/>
      <c r="R379" s="1477"/>
      <c r="S379" s="1477"/>
      <c r="T379" s="1477"/>
      <c r="U379" s="1477"/>
      <c r="V379" s="1477"/>
      <c r="W379" s="1477"/>
      <c r="X379" s="1477"/>
      <c r="Y379" s="1477"/>
      <c r="Z379" s="1477"/>
    </row>
    <row r="380" spans="1:26" hidden="1"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80"/>
      <c r="H380" s="1480"/>
      <c r="I380" s="1427" t="str">
        <f t="shared" si="38"/>
        <v>EB Markup Amt</v>
      </c>
      <c r="J380" s="1480" t="str">
        <f t="shared" si="40"/>
        <v>F349</v>
      </c>
      <c r="K380" s="1480" t="str">
        <f t="shared" si="39"/>
        <v>Pricing Schedule</v>
      </c>
      <c r="L380" s="907" t="s">
        <v>1294</v>
      </c>
      <c r="M380" s="1480">
        <v>349</v>
      </c>
      <c r="N380" s="1480"/>
      <c r="O380" s="1477"/>
      <c r="P380" s="1477"/>
      <c r="Q380" s="1477"/>
      <c r="R380" s="1477"/>
      <c r="S380" s="1477"/>
      <c r="T380" s="1477"/>
      <c r="U380" s="1477"/>
      <c r="V380" s="1477"/>
      <c r="W380" s="1477"/>
      <c r="X380" s="1477"/>
      <c r="Y380" s="1477"/>
      <c r="Z380" s="1477"/>
    </row>
    <row r="381" spans="1:26" hidden="1"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80"/>
      <c r="H381" s="1480"/>
      <c r="I381" s="1427" t="str">
        <f t="shared" si="38"/>
        <v>Min CS Markup Override Flag</v>
      </c>
      <c r="J381" s="1480" t="str">
        <f t="shared" si="40"/>
        <v>F350</v>
      </c>
      <c r="K381" s="1480" t="str">
        <f t="shared" si="39"/>
        <v>Pricing Schedule</v>
      </c>
      <c r="L381" s="907" t="s">
        <v>1295</v>
      </c>
      <c r="M381" s="1480">
        <v>350</v>
      </c>
      <c r="N381" s="1480"/>
      <c r="O381" s="1477"/>
      <c r="P381" s="1477"/>
      <c r="Q381" s="1477"/>
      <c r="R381" s="1477"/>
      <c r="S381" s="1477"/>
      <c r="T381" s="1477"/>
      <c r="U381" s="1477"/>
      <c r="V381" s="1477"/>
      <c r="W381" s="1477"/>
      <c r="X381" s="1477"/>
      <c r="Y381" s="1477"/>
      <c r="Z381" s="1477"/>
    </row>
    <row r="382" spans="1:26" hidden="1"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80"/>
      <c r="H382" s="1480"/>
      <c r="I382" s="1427" t="str">
        <f t="shared" si="38"/>
        <v>Min CS Markup Amt</v>
      </c>
      <c r="J382" s="1480" t="str">
        <f t="shared" si="40"/>
        <v>F351</v>
      </c>
      <c r="K382" s="1480" t="str">
        <f t="shared" si="39"/>
        <v>Pricing Schedule</v>
      </c>
      <c r="L382" s="907" t="s">
        <v>1296</v>
      </c>
      <c r="M382" s="1480">
        <v>351</v>
      </c>
      <c r="N382" s="1480"/>
      <c r="O382" s="1477"/>
      <c r="P382" s="1477"/>
      <c r="Q382" s="1477"/>
      <c r="R382" s="1477"/>
      <c r="S382" s="1477"/>
      <c r="T382" s="1477"/>
      <c r="U382" s="1477"/>
      <c r="V382" s="1477"/>
      <c r="W382" s="1477"/>
      <c r="X382" s="1477"/>
      <c r="Y382" s="1477"/>
      <c r="Z382" s="1477"/>
    </row>
    <row r="383" spans="1:26" hidden="1"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80"/>
      <c r="H383" s="1480"/>
      <c r="I383" s="1427" t="str">
        <f t="shared" si="38"/>
        <v>Split Case Fee Override Flag</v>
      </c>
      <c r="J383" s="1480" t="str">
        <f t="shared" si="40"/>
        <v>F352</v>
      </c>
      <c r="K383" s="1480" t="str">
        <f t="shared" si="39"/>
        <v>Pricing Schedule</v>
      </c>
      <c r="L383" s="907" t="s">
        <v>1297</v>
      </c>
      <c r="M383" s="1480">
        <v>352</v>
      </c>
      <c r="N383" s="1480"/>
      <c r="O383" s="1477"/>
      <c r="P383" s="1477"/>
      <c r="Q383" s="1477"/>
      <c r="R383" s="1477"/>
      <c r="S383" s="1477"/>
      <c r="T383" s="1477"/>
      <c r="U383" s="1477"/>
      <c r="V383" s="1477"/>
      <c r="W383" s="1477"/>
      <c r="X383" s="1477"/>
      <c r="Y383" s="1477"/>
      <c r="Z383" s="1477"/>
    </row>
    <row r="384" spans="1:26" hidden="1"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80"/>
      <c r="H384" s="1480"/>
      <c r="I384" s="1427" t="str">
        <f t="shared" si="38"/>
        <v>Split Case Fee</v>
      </c>
      <c r="J384" s="1480" t="str">
        <f t="shared" si="40"/>
        <v>F353</v>
      </c>
      <c r="K384" s="1480" t="str">
        <f t="shared" si="39"/>
        <v>Pricing Schedule</v>
      </c>
      <c r="L384" s="907" t="s">
        <v>1298</v>
      </c>
      <c r="M384" s="1480">
        <v>353</v>
      </c>
      <c r="N384" s="1480"/>
      <c r="O384" s="1477"/>
      <c r="P384" s="1477"/>
      <c r="Q384" s="1477"/>
      <c r="R384" s="1477"/>
      <c r="S384" s="1477"/>
      <c r="T384" s="1477"/>
      <c r="U384" s="1477"/>
      <c r="V384" s="1477"/>
      <c r="W384" s="1477"/>
      <c r="X384" s="1477"/>
      <c r="Y384" s="1477"/>
      <c r="Z384" s="1477"/>
    </row>
    <row r="385" spans="1:26" hidden="1"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80"/>
      <c r="H385" s="1480"/>
      <c r="I385" s="1427" t="str">
        <f t="shared" si="38"/>
        <v>Split Case Per</v>
      </c>
      <c r="J385" s="1480" t="str">
        <f t="shared" si="40"/>
        <v>F354</v>
      </c>
      <c r="K385" s="1480" t="str">
        <f t="shared" si="39"/>
        <v>Pricing Schedule</v>
      </c>
      <c r="L385" s="907" t="s">
        <v>1238</v>
      </c>
      <c r="M385" s="1480">
        <v>354</v>
      </c>
      <c r="N385" s="1480"/>
      <c r="O385" s="1477"/>
      <c r="P385" s="1477"/>
      <c r="Q385" s="1477"/>
      <c r="R385" s="1477"/>
      <c r="S385" s="1477"/>
      <c r="T385" s="1477"/>
      <c r="U385" s="1477"/>
      <c r="V385" s="1477"/>
      <c r="W385" s="1477"/>
      <c r="X385" s="1477"/>
      <c r="Y385" s="1477"/>
      <c r="Z385" s="1477"/>
    </row>
    <row r="386" spans="1:26" hidden="1"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80"/>
      <c r="G386" s="1480"/>
      <c r="H386" s="1480"/>
      <c r="I386" s="1427" t="str">
        <f t="shared" si="38"/>
        <v/>
      </c>
      <c r="J386" s="1480"/>
      <c r="K386" s="1480" t="str">
        <f t="shared" si="39"/>
        <v/>
      </c>
      <c r="L386" s="907" t="s">
        <v>1299</v>
      </c>
      <c r="M386" s="1480">
        <v>355</v>
      </c>
      <c r="N386" s="1480"/>
      <c r="O386" s="1477"/>
      <c r="P386" s="1477"/>
      <c r="Q386" s="1477"/>
      <c r="R386" s="1477"/>
      <c r="S386" s="1477"/>
      <c r="T386" s="1477"/>
      <c r="U386" s="1477"/>
      <c r="V386" s="1477"/>
      <c r="W386" s="1477"/>
      <c r="X386" s="1477"/>
      <c r="Y386" s="1477"/>
      <c r="Z386" s="1477"/>
    </row>
    <row r="387" spans="1:26" hidden="1"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80"/>
      <c r="G387" s="1480"/>
      <c r="H387" s="1480"/>
      <c r="I387" s="1427" t="str">
        <f t="shared" si="38"/>
        <v/>
      </c>
      <c r="J387" s="1480"/>
      <c r="K387" s="1480" t="str">
        <f t="shared" si="39"/>
        <v/>
      </c>
      <c r="L387" s="907" t="s">
        <v>253</v>
      </c>
      <c r="M387" s="1480">
        <v>356</v>
      </c>
      <c r="N387" s="1480"/>
      <c r="O387" s="1477"/>
      <c r="P387" s="1477"/>
      <c r="Q387" s="1477"/>
      <c r="R387" s="1477"/>
      <c r="S387" s="1477"/>
      <c r="T387" s="1477"/>
      <c r="U387" s="1477"/>
      <c r="V387" s="1477"/>
      <c r="W387" s="1477"/>
      <c r="X387" s="1477"/>
      <c r="Y387" s="1477"/>
      <c r="Z387" s="1477"/>
    </row>
    <row r="388" spans="1:26" hidden="1"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80"/>
      <c r="G388" s="1480"/>
      <c r="H388" s="1480"/>
      <c r="I388" s="1427" t="str">
        <f t="shared" ref="I388:I451" si="41">IF(J388&lt;&gt;"",A388,"")</f>
        <v/>
      </c>
      <c r="J388" s="1480"/>
      <c r="K388" s="1480" t="str">
        <f t="shared" ref="K388:K451" si="42">IF(J388&lt;&gt;"",E388,"")</f>
        <v/>
      </c>
      <c r="L388" s="907" t="s">
        <v>1256</v>
      </c>
      <c r="M388" s="1480">
        <v>357</v>
      </c>
      <c r="N388" s="1480"/>
      <c r="O388" s="1477"/>
      <c r="P388" s="1477"/>
      <c r="Q388" s="1477"/>
      <c r="R388" s="1477"/>
      <c r="S388" s="1477"/>
      <c r="T388" s="1477"/>
      <c r="U388" s="1477"/>
      <c r="V388" s="1477"/>
      <c r="W388" s="1477"/>
      <c r="X388" s="1477"/>
      <c r="Y388" s="1477"/>
      <c r="Z388" s="1477"/>
    </row>
    <row r="389" spans="1:26" hidden="1"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80"/>
      <c r="G389" s="1480"/>
      <c r="H389" s="1480"/>
      <c r="I389" s="1427" t="str">
        <f t="shared" si="41"/>
        <v/>
      </c>
      <c r="J389" s="1480"/>
      <c r="K389" s="1480" t="str">
        <f t="shared" si="42"/>
        <v/>
      </c>
      <c r="L389" s="907" t="s">
        <v>225</v>
      </c>
      <c r="M389" s="1480">
        <v>358</v>
      </c>
      <c r="N389" s="1480"/>
      <c r="O389" s="1477"/>
      <c r="P389" s="1477"/>
      <c r="Q389" s="1477"/>
      <c r="R389" s="1477"/>
      <c r="S389" s="1477"/>
      <c r="T389" s="1477"/>
      <c r="U389" s="1477"/>
      <c r="V389" s="1477"/>
      <c r="W389" s="1477"/>
      <c r="X389" s="1477"/>
      <c r="Y389" s="1477"/>
      <c r="Z389" s="1477"/>
    </row>
    <row r="390" spans="1:26" hidden="1" x14ac:dyDescent="0.25">
      <c r="A390" s="933" t="s">
        <v>465</v>
      </c>
      <c r="B390" s="1427" t="str">
        <f ca="1">_xlfn.CONCAT(IFERROR(SUBSTITUTE(ADDRESS(1,MATCH(A390,INDIRECT("'"&amp;E390&amp;"'"&amp;"!A9:Z9"),0),4),1,""),""),19)</f>
        <v>E19</v>
      </c>
      <c r="C390" s="1427" t="str">
        <f ca="1">_xlfn.CONCAT(IFERROR(SUBSTITUTE(ADDRESS(1,MATCH(A390,INDIRECT("'"&amp;E390&amp;"'"&amp;"!A9:Z9"),0),4),1,""),""))</f>
        <v>E</v>
      </c>
      <c r="D390" s="1480" t="s">
        <v>1372</v>
      </c>
      <c r="E390" s="867" t="s">
        <v>208</v>
      </c>
      <c r="F390" s="1480"/>
      <c r="G390" s="1480"/>
      <c r="H390" s="1480"/>
      <c r="I390" s="1427" t="str">
        <f t="shared" si="41"/>
        <v>Exclude PIM Classes Below</v>
      </c>
      <c r="J390" s="1480" t="str">
        <f t="shared" ref="J390:J453" si="43">IF(M390&lt;&gt;"",Q$1&amp;M390,"")</f>
        <v>F359</v>
      </c>
      <c r="K390" s="1480" t="str">
        <f t="shared" si="42"/>
        <v>PIM Model</v>
      </c>
      <c r="L390" s="907" t="s">
        <v>465</v>
      </c>
      <c r="M390" s="1480">
        <v>359</v>
      </c>
      <c r="N390" s="1480"/>
      <c r="O390" s="1477"/>
      <c r="P390" s="1477"/>
      <c r="Q390" s="1477"/>
      <c r="R390" s="1477"/>
      <c r="S390" s="1477"/>
      <c r="T390" s="1477"/>
      <c r="U390" s="1477"/>
      <c r="V390" s="1477"/>
      <c r="W390" s="1477"/>
      <c r="X390" s="1477"/>
      <c r="Y390" s="1477"/>
      <c r="Z390" s="1477"/>
    </row>
    <row r="391" spans="1:26" hidden="1"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80"/>
      <c r="G391" s="1480"/>
      <c r="H391" s="1480"/>
      <c r="I391" s="1427" t="str">
        <f t="shared" si="41"/>
        <v>Special Pricing Code</v>
      </c>
      <c r="J391" s="1480" t="str">
        <f t="shared" si="43"/>
        <v>F360</v>
      </c>
      <c r="K391" s="1480" t="str">
        <f t="shared" si="42"/>
        <v>Pricing Schedule</v>
      </c>
      <c r="L391" s="907" t="s">
        <v>1292</v>
      </c>
      <c r="M391" s="1480">
        <v>360</v>
      </c>
      <c r="N391" s="1480"/>
      <c r="O391" s="1477"/>
      <c r="P391" s="1477"/>
      <c r="Q391" s="1477"/>
      <c r="R391" s="1477"/>
      <c r="S391" s="1477"/>
      <c r="T391" s="1477"/>
      <c r="U391" s="1477"/>
      <c r="V391" s="1477"/>
      <c r="W391" s="1477"/>
      <c r="X391" s="1477"/>
      <c r="Y391" s="1477"/>
      <c r="Z391" s="1477"/>
    </row>
    <row r="392" spans="1:26" hidden="1"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80"/>
      <c r="H392" s="1480"/>
      <c r="I392" s="1427" t="str">
        <f t="shared" si="41"/>
        <v>EB Markup Amt</v>
      </c>
      <c r="J392" s="1480" t="str">
        <f t="shared" si="43"/>
        <v>F361</v>
      </c>
      <c r="K392" s="1480" t="str">
        <f t="shared" si="42"/>
        <v>Pricing Schedule</v>
      </c>
      <c r="L392" s="907" t="s">
        <v>1294</v>
      </c>
      <c r="M392" s="1480">
        <v>361</v>
      </c>
      <c r="N392" s="1480"/>
      <c r="O392" s="1477"/>
      <c r="P392" s="1477"/>
      <c r="Q392" s="1477"/>
      <c r="R392" s="1477"/>
      <c r="S392" s="1477"/>
      <c r="T392" s="1477"/>
      <c r="U392" s="1477"/>
      <c r="V392" s="1477"/>
      <c r="W392" s="1477"/>
      <c r="X392" s="1477"/>
      <c r="Y392" s="1477"/>
      <c r="Z392" s="1477"/>
    </row>
    <row r="393" spans="1:26" hidden="1"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80"/>
      <c r="H393" s="1480"/>
      <c r="I393" s="1427" t="str">
        <f t="shared" si="41"/>
        <v>Min CS Markup Override Flag</v>
      </c>
      <c r="J393" s="1480" t="str">
        <f t="shared" si="43"/>
        <v>F362</v>
      </c>
      <c r="K393" s="1480" t="str">
        <f t="shared" si="42"/>
        <v>Pricing Schedule</v>
      </c>
      <c r="L393" s="907" t="s">
        <v>1295</v>
      </c>
      <c r="M393" s="1480">
        <v>362</v>
      </c>
      <c r="N393" s="1480"/>
      <c r="O393" s="1477"/>
      <c r="P393" s="1477"/>
      <c r="Q393" s="1477"/>
      <c r="R393" s="1477"/>
      <c r="S393" s="1477"/>
      <c r="T393" s="1477"/>
      <c r="U393" s="1477"/>
      <c r="V393" s="1477"/>
      <c r="W393" s="1477"/>
      <c r="X393" s="1477"/>
      <c r="Y393" s="1477"/>
      <c r="Z393" s="1477"/>
    </row>
    <row r="394" spans="1:26" hidden="1"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80"/>
      <c r="H394" s="1480"/>
      <c r="I394" s="1427" t="str">
        <f t="shared" si="41"/>
        <v>Min CS Markup Amt</v>
      </c>
      <c r="J394" s="1480" t="str">
        <f t="shared" si="43"/>
        <v>F363</v>
      </c>
      <c r="K394" s="1480" t="str">
        <f t="shared" si="42"/>
        <v>Pricing Schedule</v>
      </c>
      <c r="L394" s="907" t="s">
        <v>1296</v>
      </c>
      <c r="M394" s="1480">
        <v>363</v>
      </c>
      <c r="N394" s="1480"/>
      <c r="O394" s="1477"/>
      <c r="P394" s="1477"/>
      <c r="Q394" s="1477"/>
      <c r="R394" s="1477"/>
      <c r="S394" s="1477"/>
      <c r="T394" s="1477"/>
      <c r="U394" s="1477"/>
      <c r="V394" s="1477"/>
      <c r="W394" s="1477"/>
      <c r="X394" s="1477"/>
      <c r="Y394" s="1477"/>
      <c r="Z394" s="1477"/>
    </row>
    <row r="395" spans="1:26" hidden="1"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80"/>
      <c r="H395" s="1480"/>
      <c r="I395" s="1427" t="str">
        <f t="shared" si="41"/>
        <v>Split Case Fee Override Flag</v>
      </c>
      <c r="J395" s="1480" t="str">
        <f t="shared" si="43"/>
        <v>F364</v>
      </c>
      <c r="K395" s="1480" t="str">
        <f t="shared" si="42"/>
        <v>Pricing Schedule</v>
      </c>
      <c r="L395" s="907" t="s">
        <v>1297</v>
      </c>
      <c r="M395" s="1480">
        <v>364</v>
      </c>
      <c r="N395" s="1480"/>
      <c r="O395" s="1477"/>
      <c r="P395" s="1477"/>
      <c r="Q395" s="1477"/>
      <c r="R395" s="1477"/>
      <c r="S395" s="1477"/>
      <c r="T395" s="1477"/>
      <c r="U395" s="1477"/>
      <c r="V395" s="1477"/>
      <c r="W395" s="1477"/>
      <c r="X395" s="1477"/>
      <c r="Y395" s="1477"/>
      <c r="Z395" s="1477"/>
    </row>
    <row r="396" spans="1:26" hidden="1"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80"/>
      <c r="H396" s="1480"/>
      <c r="I396" s="1427" t="str">
        <f t="shared" si="41"/>
        <v>Split Case Fee</v>
      </c>
      <c r="J396" s="1480" t="str">
        <f t="shared" si="43"/>
        <v>F365</v>
      </c>
      <c r="K396" s="1480" t="str">
        <f t="shared" si="42"/>
        <v>Pricing Schedule</v>
      </c>
      <c r="L396" s="907" t="s">
        <v>1298</v>
      </c>
      <c r="M396" s="1480">
        <v>365</v>
      </c>
      <c r="N396" s="1480"/>
      <c r="O396" s="1477"/>
      <c r="P396" s="1477"/>
      <c r="Q396" s="1477"/>
      <c r="R396" s="1477"/>
      <c r="S396" s="1477"/>
      <c r="T396" s="1477"/>
      <c r="U396" s="1477"/>
      <c r="V396" s="1477"/>
      <c r="W396" s="1477"/>
      <c r="X396" s="1477"/>
      <c r="Y396" s="1477"/>
      <c r="Z396" s="1477"/>
    </row>
    <row r="397" spans="1:26" hidden="1"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80"/>
      <c r="H397" s="1480"/>
      <c r="I397" s="1427" t="str">
        <f t="shared" si="41"/>
        <v>Split Case Per</v>
      </c>
      <c r="J397" s="1480" t="str">
        <f t="shared" si="43"/>
        <v>F366</v>
      </c>
      <c r="K397" s="1480" t="str">
        <f t="shared" si="42"/>
        <v>Pricing Schedule</v>
      </c>
      <c r="L397" s="907" t="s">
        <v>1238</v>
      </c>
      <c r="M397" s="1480">
        <v>366</v>
      </c>
      <c r="N397" s="1480"/>
      <c r="O397" s="1477"/>
      <c r="P397" s="1477"/>
      <c r="Q397" s="1477"/>
      <c r="R397" s="1477"/>
      <c r="S397" s="1477"/>
      <c r="T397" s="1477"/>
      <c r="U397" s="1477"/>
      <c r="V397" s="1477"/>
      <c r="W397" s="1477"/>
      <c r="X397" s="1477"/>
      <c r="Y397" s="1477"/>
      <c r="Z397" s="1477"/>
    </row>
    <row r="398" spans="1:26" hidden="1"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80"/>
      <c r="G398" s="1480"/>
      <c r="H398" s="1480"/>
      <c r="I398" s="1427" t="str">
        <f t="shared" si="41"/>
        <v/>
      </c>
      <c r="J398" s="1480"/>
      <c r="K398" s="1480" t="str">
        <f t="shared" si="42"/>
        <v/>
      </c>
      <c r="L398" s="907" t="s">
        <v>1299</v>
      </c>
      <c r="M398" s="1480">
        <v>367</v>
      </c>
      <c r="N398" s="1480"/>
      <c r="O398" s="1477"/>
      <c r="P398" s="1477"/>
      <c r="Q398" s="1477"/>
      <c r="R398" s="1477"/>
      <c r="S398" s="1477"/>
      <c r="T398" s="1477"/>
      <c r="U398" s="1477"/>
      <c r="V398" s="1477"/>
      <c r="W398" s="1477"/>
      <c r="X398" s="1477"/>
      <c r="Y398" s="1477"/>
      <c r="Z398" s="1477"/>
    </row>
    <row r="399" spans="1:26" hidden="1"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80"/>
      <c r="G399" s="1480"/>
      <c r="H399" s="1480"/>
      <c r="I399" s="1427" t="str">
        <f t="shared" si="41"/>
        <v/>
      </c>
      <c r="J399" s="1480"/>
      <c r="K399" s="1480" t="str">
        <f t="shared" si="42"/>
        <v/>
      </c>
      <c r="L399" s="907" t="s">
        <v>253</v>
      </c>
      <c r="M399" s="1480">
        <v>368</v>
      </c>
      <c r="N399" s="1480"/>
      <c r="O399" s="1477"/>
      <c r="P399" s="1477"/>
      <c r="Q399" s="1477"/>
      <c r="R399" s="1477"/>
      <c r="S399" s="1477"/>
      <c r="T399" s="1477"/>
      <c r="U399" s="1477"/>
      <c r="V399" s="1477"/>
      <c r="W399" s="1477"/>
      <c r="X399" s="1477"/>
      <c r="Y399" s="1477"/>
      <c r="Z399" s="1477"/>
    </row>
    <row r="400" spans="1:26" hidden="1"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80"/>
      <c r="G400" s="1480"/>
      <c r="H400" s="1480"/>
      <c r="I400" s="1427" t="str">
        <f t="shared" si="41"/>
        <v/>
      </c>
      <c r="J400" s="1480"/>
      <c r="K400" s="1480" t="str">
        <f t="shared" si="42"/>
        <v/>
      </c>
      <c r="L400" s="907" t="s">
        <v>1256</v>
      </c>
      <c r="M400" s="1480">
        <v>369</v>
      </c>
      <c r="N400" s="1480"/>
      <c r="O400" s="1477"/>
      <c r="P400" s="1477"/>
      <c r="Q400" s="1477"/>
      <c r="R400" s="1477"/>
      <c r="S400" s="1477"/>
      <c r="T400" s="1477"/>
      <c r="U400" s="1477"/>
      <c r="V400" s="1477"/>
      <c r="W400" s="1477"/>
      <c r="X400" s="1477"/>
      <c r="Y400" s="1477"/>
      <c r="Z400" s="1477"/>
    </row>
    <row r="401" spans="1:26" hidden="1"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80"/>
      <c r="G401" s="1480"/>
      <c r="H401" s="1480"/>
      <c r="I401" s="1427" t="str">
        <f t="shared" si="41"/>
        <v/>
      </c>
      <c r="J401" s="1480"/>
      <c r="K401" s="1480" t="str">
        <f t="shared" si="42"/>
        <v/>
      </c>
      <c r="L401" s="907" t="s">
        <v>225</v>
      </c>
      <c r="M401" s="1480">
        <v>370</v>
      </c>
      <c r="N401" s="1480"/>
      <c r="O401" s="1477"/>
      <c r="P401" s="1477"/>
      <c r="Q401" s="1477"/>
      <c r="R401" s="1477"/>
      <c r="S401" s="1477"/>
      <c r="T401" s="1477"/>
      <c r="U401" s="1477"/>
      <c r="V401" s="1477"/>
      <c r="W401" s="1477"/>
      <c r="X401" s="1477"/>
      <c r="Y401" s="1477"/>
      <c r="Z401" s="1477"/>
    </row>
    <row r="402" spans="1:26" hidden="1" x14ac:dyDescent="0.25">
      <c r="A402" s="930" t="s">
        <v>465</v>
      </c>
      <c r="B402" s="1427" t="str">
        <f ca="1">_xlfn.CONCAT(IFERROR(SUBSTITUTE(ADDRESS(1,MATCH(A402,INDIRECT("'"&amp;E402&amp;"'"&amp;"!A9:Z9"),0),4),1,""),""),20)</f>
        <v>E20</v>
      </c>
      <c r="C402" s="1427" t="str">
        <f ca="1">_xlfn.CONCAT(IFERROR(SUBSTITUTE(ADDRESS(1,MATCH(A402,INDIRECT("'"&amp;E402&amp;"'"&amp;"!A9:Z9"),0),4),1,""),""))</f>
        <v>E</v>
      </c>
      <c r="D402" s="1480" t="s">
        <v>1372</v>
      </c>
      <c r="E402" s="867" t="s">
        <v>208</v>
      </c>
      <c r="F402" s="1480"/>
      <c r="G402" s="1480"/>
      <c r="H402" s="1480"/>
      <c r="I402" s="1427" t="str">
        <f t="shared" si="41"/>
        <v>Exclude PIM Classes Below</v>
      </c>
      <c r="J402" s="1480" t="str">
        <f t="shared" si="43"/>
        <v>F371</v>
      </c>
      <c r="K402" s="1480" t="str">
        <f t="shared" si="42"/>
        <v>PIM Model</v>
      </c>
      <c r="L402" s="907" t="s">
        <v>465</v>
      </c>
      <c r="M402" s="1480">
        <v>371</v>
      </c>
      <c r="N402" s="1480"/>
      <c r="O402" s="1477"/>
      <c r="P402" s="1477"/>
      <c r="Q402" s="1477"/>
      <c r="R402" s="1477"/>
      <c r="S402" s="1477"/>
      <c r="T402" s="1477"/>
      <c r="U402" s="1477"/>
      <c r="V402" s="1477"/>
      <c r="W402" s="1477"/>
      <c r="X402" s="1477"/>
      <c r="Y402" s="1477"/>
      <c r="Z402" s="1477"/>
    </row>
    <row r="403" spans="1:26" hidden="1"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80"/>
      <c r="G403" s="1480"/>
      <c r="H403" s="1480"/>
      <c r="I403" s="1427" t="str">
        <f t="shared" si="41"/>
        <v>Special Pricing Code</v>
      </c>
      <c r="J403" s="1480" t="str">
        <f t="shared" si="43"/>
        <v>F372</v>
      </c>
      <c r="K403" s="1480" t="str">
        <f t="shared" si="42"/>
        <v>Pricing Schedule</v>
      </c>
      <c r="L403" s="907" t="s">
        <v>1292</v>
      </c>
      <c r="M403" s="1480">
        <v>372</v>
      </c>
      <c r="N403" s="1480"/>
      <c r="O403" s="1477"/>
      <c r="P403" s="1477"/>
      <c r="Q403" s="1477"/>
      <c r="R403" s="1477"/>
      <c r="S403" s="1477"/>
      <c r="T403" s="1477"/>
      <c r="U403" s="1477"/>
      <c r="V403" s="1477"/>
      <c r="W403" s="1477"/>
      <c r="X403" s="1477"/>
      <c r="Y403" s="1477"/>
      <c r="Z403" s="1477"/>
    </row>
    <row r="404" spans="1:26" hidden="1"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80"/>
      <c r="H404" s="1480"/>
      <c r="I404" s="1427" t="str">
        <f t="shared" si="41"/>
        <v>EB Markup Amt</v>
      </c>
      <c r="J404" s="1480" t="str">
        <f t="shared" si="43"/>
        <v>F373</v>
      </c>
      <c r="K404" s="1480" t="str">
        <f t="shared" si="42"/>
        <v>Pricing Schedule</v>
      </c>
      <c r="L404" s="907" t="s">
        <v>1294</v>
      </c>
      <c r="M404" s="1480">
        <v>373</v>
      </c>
      <c r="N404" s="1480"/>
      <c r="O404" s="1477"/>
      <c r="P404" s="1477"/>
      <c r="Q404" s="1477"/>
      <c r="R404" s="1477"/>
      <c r="S404" s="1477"/>
      <c r="T404" s="1477"/>
      <c r="U404" s="1477"/>
      <c r="V404" s="1477"/>
      <c r="W404" s="1477"/>
      <c r="X404" s="1477"/>
      <c r="Y404" s="1477"/>
      <c r="Z404" s="1477"/>
    </row>
    <row r="405" spans="1:26" hidden="1"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80"/>
      <c r="H405" s="1480"/>
      <c r="I405" s="1427" t="str">
        <f t="shared" si="41"/>
        <v>Min CS Markup Override Flag</v>
      </c>
      <c r="J405" s="1480" t="str">
        <f t="shared" si="43"/>
        <v>F374</v>
      </c>
      <c r="K405" s="1480" t="str">
        <f t="shared" si="42"/>
        <v>Pricing Schedule</v>
      </c>
      <c r="L405" s="907" t="s">
        <v>1295</v>
      </c>
      <c r="M405" s="1480">
        <v>374</v>
      </c>
      <c r="N405" s="1480"/>
      <c r="O405" s="1477"/>
      <c r="P405" s="1477"/>
      <c r="Q405" s="1477"/>
      <c r="R405" s="1477"/>
      <c r="S405" s="1477"/>
      <c r="T405" s="1477"/>
      <c r="U405" s="1477"/>
      <c r="V405" s="1477"/>
      <c r="W405" s="1477"/>
      <c r="X405" s="1477"/>
      <c r="Y405" s="1477"/>
      <c r="Z405" s="1477"/>
    </row>
    <row r="406" spans="1:26" hidden="1"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80"/>
      <c r="H406" s="1480"/>
      <c r="I406" s="1427" t="str">
        <f t="shared" si="41"/>
        <v>Min CS Markup Amt</v>
      </c>
      <c r="J406" s="1480" t="str">
        <f t="shared" si="43"/>
        <v>F375</v>
      </c>
      <c r="K406" s="1480" t="str">
        <f t="shared" si="42"/>
        <v>Pricing Schedule</v>
      </c>
      <c r="L406" s="907" t="s">
        <v>1296</v>
      </c>
      <c r="M406" s="1480">
        <v>375</v>
      </c>
      <c r="N406" s="1480"/>
      <c r="O406" s="1477"/>
      <c r="P406" s="1477"/>
      <c r="Q406" s="1477"/>
      <c r="R406" s="1477"/>
      <c r="S406" s="1477"/>
      <c r="T406" s="1477"/>
      <c r="U406" s="1477"/>
      <c r="V406" s="1477"/>
      <c r="W406" s="1477"/>
      <c r="X406" s="1477"/>
      <c r="Y406" s="1477"/>
      <c r="Z406" s="1477"/>
    </row>
    <row r="407" spans="1:26" hidden="1"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80"/>
      <c r="H407" s="1480"/>
      <c r="I407" s="1427" t="str">
        <f t="shared" si="41"/>
        <v>Split Case Fee Override Flag</v>
      </c>
      <c r="J407" s="1480" t="str">
        <f t="shared" si="43"/>
        <v>F376</v>
      </c>
      <c r="K407" s="1480" t="str">
        <f t="shared" si="42"/>
        <v>Pricing Schedule</v>
      </c>
      <c r="L407" s="907" t="s">
        <v>1297</v>
      </c>
      <c r="M407" s="1480">
        <v>376</v>
      </c>
      <c r="N407" s="1480"/>
      <c r="O407" s="1477"/>
      <c r="P407" s="1477"/>
      <c r="Q407" s="1477"/>
      <c r="R407" s="1477"/>
      <c r="S407" s="1477"/>
      <c r="T407" s="1477"/>
      <c r="U407" s="1477"/>
      <c r="V407" s="1477"/>
      <c r="W407" s="1477"/>
      <c r="X407" s="1477"/>
      <c r="Y407" s="1477"/>
      <c r="Z407" s="1477"/>
    </row>
    <row r="408" spans="1:26" hidden="1"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80"/>
      <c r="H408" s="1480"/>
      <c r="I408" s="1427" t="str">
        <f t="shared" si="41"/>
        <v>Split Case Fee</v>
      </c>
      <c r="J408" s="1480" t="str">
        <f t="shared" si="43"/>
        <v>F377</v>
      </c>
      <c r="K408" s="1480" t="str">
        <f t="shared" si="42"/>
        <v>Pricing Schedule</v>
      </c>
      <c r="L408" s="907" t="s">
        <v>1298</v>
      </c>
      <c r="M408" s="1480">
        <v>377</v>
      </c>
      <c r="N408" s="1480"/>
      <c r="O408" s="1477"/>
      <c r="P408" s="1477"/>
      <c r="Q408" s="1477"/>
      <c r="R408" s="1477"/>
      <c r="S408" s="1477"/>
      <c r="T408" s="1477"/>
      <c r="U408" s="1477"/>
      <c r="V408" s="1477"/>
      <c r="W408" s="1477"/>
      <c r="X408" s="1477"/>
      <c r="Y408" s="1477"/>
      <c r="Z408" s="1477"/>
    </row>
    <row r="409" spans="1:26" hidden="1"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80"/>
      <c r="H409" s="1480"/>
      <c r="I409" s="1427" t="str">
        <f t="shared" si="41"/>
        <v>Split Case Per</v>
      </c>
      <c r="J409" s="1480" t="str">
        <f t="shared" si="43"/>
        <v>F378</v>
      </c>
      <c r="K409" s="1480" t="str">
        <f t="shared" si="42"/>
        <v>Pricing Schedule</v>
      </c>
      <c r="L409" s="907" t="s">
        <v>1238</v>
      </c>
      <c r="M409" s="1480">
        <v>378</v>
      </c>
      <c r="N409" s="1480"/>
      <c r="O409" s="1477"/>
      <c r="P409" s="1477"/>
      <c r="Q409" s="1477"/>
      <c r="R409" s="1477"/>
      <c r="S409" s="1477"/>
      <c r="T409" s="1477"/>
      <c r="U409" s="1477"/>
      <c r="V409" s="1477"/>
      <c r="W409" s="1477"/>
      <c r="X409" s="1477"/>
      <c r="Y409" s="1477"/>
      <c r="Z409" s="1477"/>
    </row>
    <row r="410" spans="1:26" hidden="1"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80"/>
      <c r="G410" s="1480"/>
      <c r="H410" s="1480"/>
      <c r="I410" s="1427" t="str">
        <f t="shared" si="41"/>
        <v/>
      </c>
      <c r="J410" s="1480"/>
      <c r="K410" s="1480" t="str">
        <f t="shared" si="42"/>
        <v/>
      </c>
      <c r="L410" s="907" t="s">
        <v>1299</v>
      </c>
      <c r="M410" s="1480">
        <v>379</v>
      </c>
      <c r="N410" s="1480"/>
      <c r="O410" s="1477"/>
      <c r="P410" s="1477"/>
      <c r="Q410" s="1477"/>
      <c r="R410" s="1477"/>
      <c r="S410" s="1477"/>
      <c r="T410" s="1477"/>
      <c r="U410" s="1477"/>
      <c r="V410" s="1477"/>
      <c r="W410" s="1477"/>
      <c r="X410" s="1477"/>
      <c r="Y410" s="1477"/>
      <c r="Z410" s="1477"/>
    </row>
    <row r="411" spans="1:26" hidden="1"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80"/>
      <c r="G411" s="1480"/>
      <c r="H411" s="1480"/>
      <c r="I411" s="1427" t="str">
        <f t="shared" si="41"/>
        <v/>
      </c>
      <c r="J411" s="1480"/>
      <c r="K411" s="1480" t="str">
        <f t="shared" si="42"/>
        <v/>
      </c>
      <c r="L411" s="907" t="s">
        <v>253</v>
      </c>
      <c r="M411" s="1480">
        <v>380</v>
      </c>
      <c r="N411" s="1480"/>
      <c r="O411" s="1477"/>
      <c r="P411" s="1477"/>
      <c r="Q411" s="1477"/>
      <c r="R411" s="1477"/>
      <c r="S411" s="1477"/>
      <c r="T411" s="1477"/>
      <c r="U411" s="1477"/>
      <c r="V411" s="1477"/>
      <c r="W411" s="1477"/>
      <c r="X411" s="1477"/>
      <c r="Y411" s="1477"/>
      <c r="Z411" s="1477"/>
    </row>
    <row r="412" spans="1:26" hidden="1"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80"/>
      <c r="G412" s="1480"/>
      <c r="H412" s="1480"/>
      <c r="I412" s="1427" t="str">
        <f t="shared" si="41"/>
        <v/>
      </c>
      <c r="J412" s="1480"/>
      <c r="K412" s="1480" t="str">
        <f t="shared" si="42"/>
        <v/>
      </c>
      <c r="L412" s="907" t="s">
        <v>1256</v>
      </c>
      <c r="M412" s="1480">
        <v>381</v>
      </c>
      <c r="N412" s="1480"/>
      <c r="O412" s="1477"/>
      <c r="P412" s="1477"/>
      <c r="Q412" s="1477"/>
      <c r="R412" s="1477"/>
      <c r="S412" s="1477"/>
      <c r="T412" s="1477"/>
      <c r="U412" s="1477"/>
      <c r="V412" s="1477"/>
      <c r="W412" s="1477"/>
      <c r="X412" s="1477"/>
      <c r="Y412" s="1477"/>
      <c r="Z412" s="1477"/>
    </row>
    <row r="413" spans="1:26" hidden="1"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80"/>
      <c r="G413" s="1480"/>
      <c r="H413" s="1480"/>
      <c r="I413" s="1427" t="str">
        <f t="shared" si="41"/>
        <v/>
      </c>
      <c r="J413" s="1480"/>
      <c r="K413" s="1480" t="str">
        <f t="shared" si="42"/>
        <v/>
      </c>
      <c r="L413" s="907" t="s">
        <v>225</v>
      </c>
      <c r="M413" s="1480">
        <v>382</v>
      </c>
      <c r="N413" s="1480"/>
      <c r="O413" s="1477"/>
      <c r="P413" s="1477"/>
      <c r="Q413" s="1477"/>
      <c r="R413" s="1477"/>
      <c r="S413" s="1477"/>
      <c r="T413" s="1477"/>
      <c r="U413" s="1477"/>
      <c r="V413" s="1477"/>
      <c r="W413" s="1477"/>
      <c r="X413" s="1477"/>
      <c r="Y413" s="1477"/>
      <c r="Z413" s="1477"/>
    </row>
    <row r="414" spans="1:26" hidden="1" x14ac:dyDescent="0.25">
      <c r="A414" s="933" t="s">
        <v>465</v>
      </c>
      <c r="B414" s="1427" t="str">
        <f ca="1">_xlfn.CONCAT(IFERROR(SUBSTITUTE(ADDRESS(1,MATCH(A414,INDIRECT("'"&amp;E414&amp;"'"&amp;"!A9:Z9"),0),4),1,""),""),21)</f>
        <v>E21</v>
      </c>
      <c r="C414" s="1427" t="str">
        <f ca="1">_xlfn.CONCAT(IFERROR(SUBSTITUTE(ADDRESS(1,MATCH(A414,INDIRECT("'"&amp;E414&amp;"'"&amp;"!A9:Z9"),0),4),1,""),""))</f>
        <v>E</v>
      </c>
      <c r="D414" s="1480" t="s">
        <v>1372</v>
      </c>
      <c r="E414" s="867" t="s">
        <v>208</v>
      </c>
      <c r="F414" s="1480"/>
      <c r="G414" s="1480"/>
      <c r="H414" s="1480"/>
      <c r="I414" s="1427" t="str">
        <f t="shared" si="41"/>
        <v>Exclude PIM Classes Below</v>
      </c>
      <c r="J414" s="1480" t="str">
        <f t="shared" si="43"/>
        <v>F383</v>
      </c>
      <c r="K414" s="1480" t="str">
        <f t="shared" si="42"/>
        <v>PIM Model</v>
      </c>
      <c r="L414" s="907" t="s">
        <v>465</v>
      </c>
      <c r="M414" s="1480">
        <v>383</v>
      </c>
      <c r="N414" s="1480"/>
      <c r="O414" s="1477"/>
      <c r="P414" s="1477"/>
      <c r="Q414" s="1477"/>
      <c r="R414" s="1477"/>
      <c r="S414" s="1477"/>
      <c r="T414" s="1477"/>
      <c r="U414" s="1477"/>
      <c r="V414" s="1477"/>
      <c r="W414" s="1477"/>
      <c r="X414" s="1477"/>
      <c r="Y414" s="1477"/>
      <c r="Z414" s="1477"/>
    </row>
    <row r="415" spans="1:26" hidden="1"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80"/>
      <c r="G415" s="1480"/>
      <c r="H415" s="1480"/>
      <c r="I415" s="1427" t="str">
        <f t="shared" si="41"/>
        <v>Special Pricing Code</v>
      </c>
      <c r="J415" s="1480" t="str">
        <f t="shared" si="43"/>
        <v>F384</v>
      </c>
      <c r="K415" s="1480" t="str">
        <f t="shared" si="42"/>
        <v>Pricing Schedule</v>
      </c>
      <c r="L415" s="907" t="s">
        <v>1292</v>
      </c>
      <c r="M415" s="1480">
        <v>384</v>
      </c>
      <c r="N415" s="1480"/>
      <c r="O415" s="1477"/>
      <c r="P415" s="1477"/>
      <c r="Q415" s="1477"/>
      <c r="R415" s="1477"/>
      <c r="S415" s="1477"/>
      <c r="T415" s="1477"/>
      <c r="U415" s="1477"/>
      <c r="V415" s="1477"/>
      <c r="W415" s="1477"/>
      <c r="X415" s="1477"/>
      <c r="Y415" s="1477"/>
      <c r="Z415" s="1477"/>
    </row>
    <row r="416" spans="1:26" hidden="1"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80"/>
      <c r="H416" s="1480"/>
      <c r="I416" s="1427" t="str">
        <f t="shared" si="41"/>
        <v>EB Markup Amt</v>
      </c>
      <c r="J416" s="1480" t="str">
        <f t="shared" si="43"/>
        <v>F385</v>
      </c>
      <c r="K416" s="1480" t="str">
        <f t="shared" si="42"/>
        <v>Pricing Schedule</v>
      </c>
      <c r="L416" s="907" t="s">
        <v>1294</v>
      </c>
      <c r="M416" s="1480">
        <v>385</v>
      </c>
      <c r="N416" s="1480"/>
      <c r="O416" s="1477"/>
      <c r="P416" s="1477"/>
      <c r="Q416" s="1477"/>
      <c r="R416" s="1477"/>
      <c r="S416" s="1477"/>
      <c r="T416" s="1477"/>
      <c r="U416" s="1477"/>
      <c r="V416" s="1477"/>
      <c r="W416" s="1477"/>
      <c r="X416" s="1477"/>
      <c r="Y416" s="1477"/>
      <c r="Z416" s="1477"/>
    </row>
    <row r="417" spans="1:26" hidden="1"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80"/>
      <c r="H417" s="1480"/>
      <c r="I417" s="1427" t="str">
        <f t="shared" si="41"/>
        <v>Min CS Markup Override Flag</v>
      </c>
      <c r="J417" s="1480" t="str">
        <f t="shared" si="43"/>
        <v>F386</v>
      </c>
      <c r="K417" s="1480" t="str">
        <f t="shared" si="42"/>
        <v>Pricing Schedule</v>
      </c>
      <c r="L417" s="907" t="s">
        <v>1295</v>
      </c>
      <c r="M417" s="1480">
        <v>386</v>
      </c>
      <c r="N417" s="1480"/>
      <c r="O417" s="1477"/>
      <c r="P417" s="1477"/>
      <c r="Q417" s="1477"/>
      <c r="R417" s="1477"/>
      <c r="S417" s="1477"/>
      <c r="T417" s="1477"/>
      <c r="U417" s="1477"/>
      <c r="V417" s="1477"/>
      <c r="W417" s="1477"/>
      <c r="X417" s="1477"/>
      <c r="Y417" s="1477"/>
      <c r="Z417" s="1477"/>
    </row>
    <row r="418" spans="1:26" hidden="1"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80"/>
      <c r="H418" s="1480"/>
      <c r="I418" s="1427" t="str">
        <f t="shared" si="41"/>
        <v>Min CS Markup Amt</v>
      </c>
      <c r="J418" s="1480" t="str">
        <f t="shared" si="43"/>
        <v>F387</v>
      </c>
      <c r="K418" s="1480" t="str">
        <f t="shared" si="42"/>
        <v>Pricing Schedule</v>
      </c>
      <c r="L418" s="907" t="s">
        <v>1296</v>
      </c>
      <c r="M418" s="1480">
        <v>387</v>
      </c>
      <c r="N418" s="1480"/>
      <c r="O418" s="1477"/>
      <c r="P418" s="1477"/>
      <c r="Q418" s="1477"/>
      <c r="R418" s="1477"/>
      <c r="S418" s="1477"/>
      <c r="T418" s="1477"/>
      <c r="U418" s="1477"/>
      <c r="V418" s="1477"/>
      <c r="W418" s="1477"/>
      <c r="X418" s="1477"/>
      <c r="Y418" s="1477"/>
      <c r="Z418" s="1477"/>
    </row>
    <row r="419" spans="1:26" hidden="1"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80"/>
      <c r="H419" s="1480"/>
      <c r="I419" s="1427" t="str">
        <f t="shared" si="41"/>
        <v>Split Case Fee Override Flag</v>
      </c>
      <c r="J419" s="1480" t="str">
        <f t="shared" si="43"/>
        <v>F388</v>
      </c>
      <c r="K419" s="1480" t="str">
        <f t="shared" si="42"/>
        <v>Pricing Schedule</v>
      </c>
      <c r="L419" s="907" t="s">
        <v>1297</v>
      </c>
      <c r="M419" s="1480">
        <v>388</v>
      </c>
      <c r="N419" s="1480"/>
      <c r="O419" s="1477"/>
      <c r="P419" s="1477"/>
      <c r="Q419" s="1477"/>
      <c r="R419" s="1477"/>
      <c r="S419" s="1477"/>
      <c r="T419" s="1477"/>
      <c r="U419" s="1477"/>
      <c r="V419" s="1477"/>
      <c r="W419" s="1477"/>
      <c r="X419" s="1477"/>
      <c r="Y419" s="1477"/>
      <c r="Z419" s="1477"/>
    </row>
    <row r="420" spans="1:26" hidden="1"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80"/>
      <c r="H420" s="1480"/>
      <c r="I420" s="1427" t="str">
        <f t="shared" si="41"/>
        <v>Split Case Fee</v>
      </c>
      <c r="J420" s="1480" t="str">
        <f t="shared" si="43"/>
        <v>F389</v>
      </c>
      <c r="K420" s="1480" t="str">
        <f t="shared" si="42"/>
        <v>Pricing Schedule</v>
      </c>
      <c r="L420" s="907" t="s">
        <v>1298</v>
      </c>
      <c r="M420" s="1480">
        <v>389</v>
      </c>
      <c r="N420" s="1480"/>
      <c r="O420" s="1477"/>
      <c r="P420" s="1477"/>
      <c r="Q420" s="1477"/>
      <c r="R420" s="1477"/>
      <c r="S420" s="1477"/>
      <c r="T420" s="1477"/>
      <c r="U420" s="1477"/>
      <c r="V420" s="1477"/>
      <c r="W420" s="1477"/>
      <c r="X420" s="1477"/>
      <c r="Y420" s="1477"/>
      <c r="Z420" s="1477"/>
    </row>
    <row r="421" spans="1:26" hidden="1"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80"/>
      <c r="H421" s="1480"/>
      <c r="I421" s="1427" t="str">
        <f t="shared" si="41"/>
        <v>Split Case Per</v>
      </c>
      <c r="J421" s="1480" t="str">
        <f t="shared" si="43"/>
        <v>F390</v>
      </c>
      <c r="K421" s="1480" t="str">
        <f t="shared" si="42"/>
        <v>Pricing Schedule</v>
      </c>
      <c r="L421" s="907" t="s">
        <v>1238</v>
      </c>
      <c r="M421" s="1480">
        <v>390</v>
      </c>
      <c r="N421" s="1480"/>
      <c r="O421" s="1477"/>
      <c r="P421" s="1477"/>
      <c r="Q421" s="1477"/>
      <c r="R421" s="1477"/>
      <c r="S421" s="1477"/>
      <c r="T421" s="1477"/>
      <c r="U421" s="1477"/>
      <c r="V421" s="1477"/>
      <c r="W421" s="1477"/>
      <c r="X421" s="1477"/>
      <c r="Y421" s="1477"/>
      <c r="Z421" s="1477"/>
    </row>
    <row r="422" spans="1:26" hidden="1"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80"/>
      <c r="G422" s="1480"/>
      <c r="H422" s="1480"/>
      <c r="I422" s="1427" t="str">
        <f t="shared" si="41"/>
        <v/>
      </c>
      <c r="J422" s="1480"/>
      <c r="K422" s="1480" t="str">
        <f t="shared" si="42"/>
        <v/>
      </c>
      <c r="L422" s="907" t="s">
        <v>1299</v>
      </c>
      <c r="M422" s="1480">
        <v>391</v>
      </c>
      <c r="N422" s="1480"/>
      <c r="O422" s="1477"/>
      <c r="P422" s="1477"/>
      <c r="Q422" s="1477"/>
      <c r="R422" s="1477"/>
      <c r="S422" s="1477"/>
      <c r="T422" s="1477"/>
      <c r="U422" s="1477"/>
      <c r="V422" s="1477"/>
      <c r="W422" s="1477"/>
      <c r="X422" s="1477"/>
      <c r="Y422" s="1477"/>
      <c r="Z422" s="1477"/>
    </row>
    <row r="423" spans="1:26" hidden="1"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80"/>
      <c r="G423" s="1480"/>
      <c r="H423" s="1480"/>
      <c r="I423" s="1427" t="str">
        <f t="shared" si="41"/>
        <v/>
      </c>
      <c r="J423" s="1480"/>
      <c r="K423" s="1480" t="str">
        <f t="shared" si="42"/>
        <v/>
      </c>
      <c r="L423" s="907" t="s">
        <v>253</v>
      </c>
      <c r="M423" s="1480">
        <v>392</v>
      </c>
      <c r="N423" s="1480"/>
      <c r="O423" s="1477"/>
      <c r="P423" s="1477"/>
      <c r="Q423" s="1477"/>
      <c r="R423" s="1477"/>
      <c r="S423" s="1477"/>
      <c r="T423" s="1477"/>
      <c r="U423" s="1477"/>
      <c r="V423" s="1477"/>
      <c r="W423" s="1477"/>
      <c r="X423" s="1477"/>
      <c r="Y423" s="1477"/>
      <c r="Z423" s="1477"/>
    </row>
    <row r="424" spans="1:26" hidden="1"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80"/>
      <c r="G424" s="1480"/>
      <c r="H424" s="1480"/>
      <c r="I424" s="1427" t="str">
        <f t="shared" si="41"/>
        <v/>
      </c>
      <c r="J424" s="1480"/>
      <c r="K424" s="1480" t="str">
        <f t="shared" si="42"/>
        <v/>
      </c>
      <c r="L424" s="907" t="s">
        <v>1256</v>
      </c>
      <c r="M424" s="1480">
        <v>393</v>
      </c>
      <c r="N424" s="1480"/>
      <c r="O424" s="1477"/>
      <c r="P424" s="1477"/>
      <c r="Q424" s="1477"/>
      <c r="R424" s="1477"/>
      <c r="S424" s="1477"/>
      <c r="T424" s="1477"/>
      <c r="U424" s="1477"/>
      <c r="V424" s="1477"/>
      <c r="W424" s="1477"/>
      <c r="X424" s="1477"/>
      <c r="Y424" s="1477"/>
      <c r="Z424" s="1477"/>
    </row>
    <row r="425" spans="1:26" hidden="1"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80"/>
      <c r="G425" s="1480"/>
      <c r="H425" s="1480"/>
      <c r="I425" s="1427" t="str">
        <f t="shared" si="41"/>
        <v/>
      </c>
      <c r="J425" s="1480"/>
      <c r="K425" s="1480" t="str">
        <f t="shared" si="42"/>
        <v/>
      </c>
      <c r="L425" s="907" t="s">
        <v>225</v>
      </c>
      <c r="M425" s="1480">
        <v>394</v>
      </c>
      <c r="N425" s="1480"/>
      <c r="O425" s="1477"/>
      <c r="P425" s="1477"/>
      <c r="Q425" s="1477"/>
      <c r="R425" s="1477"/>
      <c r="S425" s="1477"/>
      <c r="T425" s="1477"/>
      <c r="U425" s="1477"/>
      <c r="V425" s="1477"/>
      <c r="W425" s="1477"/>
      <c r="X425" s="1477"/>
      <c r="Y425" s="1477"/>
      <c r="Z425" s="1477"/>
    </row>
    <row r="426" spans="1:26" hidden="1" x14ac:dyDescent="0.25">
      <c r="A426" s="930" t="s">
        <v>465</v>
      </c>
      <c r="B426" s="1427" t="str">
        <f ca="1">_xlfn.CONCAT(IFERROR(SUBSTITUTE(ADDRESS(1,MATCH(A426,INDIRECT("'"&amp;E426&amp;"'"&amp;"!A9:Z9"),0),4),1,""),""),22)</f>
        <v>E22</v>
      </c>
      <c r="C426" s="1427" t="str">
        <f ca="1">_xlfn.CONCAT(IFERROR(SUBSTITUTE(ADDRESS(1,MATCH(A426,INDIRECT("'"&amp;E426&amp;"'"&amp;"!A9:Z9"),0),4),1,""),""))</f>
        <v>E</v>
      </c>
      <c r="D426" s="1480" t="s">
        <v>1372</v>
      </c>
      <c r="E426" s="867" t="s">
        <v>208</v>
      </c>
      <c r="F426" s="1480"/>
      <c r="G426" s="1480"/>
      <c r="H426" s="1480"/>
      <c r="I426" s="1427" t="str">
        <f t="shared" si="41"/>
        <v>Exclude PIM Classes Below</v>
      </c>
      <c r="J426" s="1480" t="str">
        <f t="shared" si="43"/>
        <v>F395</v>
      </c>
      <c r="K426" s="1480" t="str">
        <f t="shared" si="42"/>
        <v>PIM Model</v>
      </c>
      <c r="L426" s="907" t="s">
        <v>465</v>
      </c>
      <c r="M426" s="1480">
        <v>395</v>
      </c>
      <c r="N426" s="1480"/>
      <c r="O426" s="1477"/>
      <c r="P426" s="1477"/>
      <c r="Q426" s="1477"/>
      <c r="R426" s="1477"/>
      <c r="S426" s="1477"/>
      <c r="T426" s="1477"/>
      <c r="U426" s="1477"/>
      <c r="V426" s="1477"/>
      <c r="W426" s="1477"/>
      <c r="X426" s="1477"/>
      <c r="Y426" s="1477"/>
      <c r="Z426" s="1477"/>
    </row>
    <row r="427" spans="1:26" hidden="1"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80"/>
      <c r="G427" s="1480"/>
      <c r="H427" s="1480"/>
      <c r="I427" s="1427" t="str">
        <f t="shared" si="41"/>
        <v>Special Pricing Code</v>
      </c>
      <c r="J427" s="1480" t="str">
        <f t="shared" si="43"/>
        <v>F396</v>
      </c>
      <c r="K427" s="1480" t="str">
        <f t="shared" si="42"/>
        <v>Pricing Schedule</v>
      </c>
      <c r="L427" s="907" t="s">
        <v>1292</v>
      </c>
      <c r="M427" s="1480">
        <v>396</v>
      </c>
      <c r="N427" s="1480"/>
      <c r="O427" s="1477"/>
      <c r="P427" s="1477"/>
      <c r="Q427" s="1477"/>
      <c r="R427" s="1477"/>
      <c r="S427" s="1477"/>
      <c r="T427" s="1477"/>
      <c r="U427" s="1477"/>
      <c r="V427" s="1477"/>
      <c r="W427" s="1477"/>
      <c r="X427" s="1477"/>
      <c r="Y427" s="1477"/>
      <c r="Z427" s="1477"/>
    </row>
    <row r="428" spans="1:26" hidden="1"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80"/>
      <c r="H428" s="1480"/>
      <c r="I428" s="1427" t="str">
        <f t="shared" si="41"/>
        <v>EB Markup Amt</v>
      </c>
      <c r="J428" s="1480" t="str">
        <f t="shared" si="43"/>
        <v>F397</v>
      </c>
      <c r="K428" s="1480" t="str">
        <f t="shared" si="42"/>
        <v>Pricing Schedule</v>
      </c>
      <c r="L428" s="907" t="s">
        <v>1294</v>
      </c>
      <c r="M428" s="1480">
        <v>397</v>
      </c>
      <c r="N428" s="1480"/>
      <c r="O428" s="1477"/>
      <c r="P428" s="1477"/>
      <c r="Q428" s="1477"/>
      <c r="R428" s="1477"/>
      <c r="S428" s="1477"/>
      <c r="T428" s="1477"/>
      <c r="U428" s="1477"/>
      <c r="V428" s="1477"/>
      <c r="W428" s="1477"/>
      <c r="X428" s="1477"/>
      <c r="Y428" s="1477"/>
      <c r="Z428" s="1477"/>
    </row>
    <row r="429" spans="1:26" hidden="1"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80"/>
      <c r="H429" s="1480"/>
      <c r="I429" s="1427" t="str">
        <f t="shared" si="41"/>
        <v>Min CS Markup Override Flag</v>
      </c>
      <c r="J429" s="1480" t="str">
        <f t="shared" si="43"/>
        <v>F398</v>
      </c>
      <c r="K429" s="1480" t="str">
        <f t="shared" si="42"/>
        <v>Pricing Schedule</v>
      </c>
      <c r="L429" s="907" t="s">
        <v>1295</v>
      </c>
      <c r="M429" s="1480">
        <v>398</v>
      </c>
      <c r="N429" s="1480"/>
      <c r="O429" s="1477"/>
      <c r="P429" s="1477"/>
      <c r="Q429" s="1477"/>
      <c r="R429" s="1477"/>
      <c r="S429" s="1477"/>
      <c r="T429" s="1477"/>
      <c r="U429" s="1477"/>
      <c r="V429" s="1477"/>
      <c r="W429" s="1477"/>
      <c r="X429" s="1477"/>
      <c r="Y429" s="1477"/>
      <c r="Z429" s="1477"/>
    </row>
    <row r="430" spans="1:26" hidden="1"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80"/>
      <c r="H430" s="1480"/>
      <c r="I430" s="1427" t="str">
        <f t="shared" si="41"/>
        <v>Min CS Markup Amt</v>
      </c>
      <c r="J430" s="1480" t="str">
        <f t="shared" si="43"/>
        <v>F399</v>
      </c>
      <c r="K430" s="1480" t="str">
        <f t="shared" si="42"/>
        <v>Pricing Schedule</v>
      </c>
      <c r="L430" s="907" t="s">
        <v>1296</v>
      </c>
      <c r="M430" s="1480">
        <v>399</v>
      </c>
      <c r="N430" s="1480"/>
      <c r="O430" s="1477"/>
      <c r="P430" s="1477"/>
      <c r="Q430" s="1477"/>
      <c r="R430" s="1477"/>
      <c r="S430" s="1477"/>
      <c r="T430" s="1477"/>
      <c r="U430" s="1477"/>
      <c r="V430" s="1477"/>
      <c r="W430" s="1477"/>
      <c r="X430" s="1477"/>
      <c r="Y430" s="1477"/>
      <c r="Z430" s="1477"/>
    </row>
    <row r="431" spans="1:26" hidden="1"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80"/>
      <c r="H431" s="1480"/>
      <c r="I431" s="1427" t="str">
        <f t="shared" si="41"/>
        <v>Split Case Fee Override Flag</v>
      </c>
      <c r="J431" s="1480" t="str">
        <f t="shared" si="43"/>
        <v>F400</v>
      </c>
      <c r="K431" s="1480" t="str">
        <f t="shared" si="42"/>
        <v>Pricing Schedule</v>
      </c>
      <c r="L431" s="907" t="s">
        <v>1297</v>
      </c>
      <c r="M431" s="1480">
        <v>400</v>
      </c>
      <c r="N431" s="1480"/>
      <c r="O431" s="1477"/>
      <c r="P431" s="1477"/>
      <c r="Q431" s="1477"/>
      <c r="R431" s="1477"/>
      <c r="S431" s="1477"/>
      <c r="T431" s="1477"/>
      <c r="U431" s="1477"/>
      <c r="V431" s="1477"/>
      <c r="W431" s="1477"/>
      <c r="X431" s="1477"/>
      <c r="Y431" s="1477"/>
      <c r="Z431" s="1477"/>
    </row>
    <row r="432" spans="1:26" hidden="1"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80"/>
      <c r="H432" s="1480"/>
      <c r="I432" s="1427" t="str">
        <f t="shared" si="41"/>
        <v>Split Case Fee</v>
      </c>
      <c r="J432" s="1480" t="str">
        <f t="shared" si="43"/>
        <v>F401</v>
      </c>
      <c r="K432" s="1480" t="str">
        <f t="shared" si="42"/>
        <v>Pricing Schedule</v>
      </c>
      <c r="L432" s="907" t="s">
        <v>1298</v>
      </c>
      <c r="M432" s="1480">
        <v>401</v>
      </c>
      <c r="N432" s="1480"/>
      <c r="O432" s="1477"/>
      <c r="P432" s="1477"/>
      <c r="Q432" s="1477"/>
      <c r="R432" s="1477"/>
      <c r="S432" s="1477"/>
      <c r="T432" s="1477"/>
      <c r="U432" s="1477"/>
      <c r="V432" s="1477"/>
      <c r="W432" s="1477"/>
      <c r="X432" s="1477"/>
      <c r="Y432" s="1477"/>
      <c r="Z432" s="1477"/>
    </row>
    <row r="433" spans="1:26" hidden="1"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80"/>
      <c r="H433" s="1480"/>
      <c r="I433" s="1427" t="str">
        <f t="shared" si="41"/>
        <v>Split Case Per</v>
      </c>
      <c r="J433" s="1480" t="str">
        <f t="shared" si="43"/>
        <v>F402</v>
      </c>
      <c r="K433" s="1480" t="str">
        <f t="shared" si="42"/>
        <v>Pricing Schedule</v>
      </c>
      <c r="L433" s="907" t="s">
        <v>1238</v>
      </c>
      <c r="M433" s="1480">
        <v>402</v>
      </c>
      <c r="N433" s="1480"/>
      <c r="O433" s="1477"/>
      <c r="P433" s="1477"/>
      <c r="Q433" s="1477"/>
      <c r="R433" s="1477"/>
      <c r="S433" s="1477"/>
      <c r="T433" s="1477"/>
      <c r="U433" s="1477"/>
      <c r="V433" s="1477"/>
      <c r="W433" s="1477"/>
      <c r="X433" s="1477"/>
      <c r="Y433" s="1477"/>
      <c r="Z433" s="1477"/>
    </row>
    <row r="434" spans="1:26" hidden="1"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80"/>
      <c r="G434" s="1480"/>
      <c r="H434" s="1480"/>
      <c r="I434" s="1427" t="str">
        <f t="shared" si="41"/>
        <v/>
      </c>
      <c r="J434" s="1480"/>
      <c r="K434" s="1480" t="str">
        <f t="shared" si="42"/>
        <v/>
      </c>
      <c r="L434" s="907" t="s">
        <v>1299</v>
      </c>
      <c r="M434" s="1480">
        <v>403</v>
      </c>
      <c r="N434" s="1480"/>
      <c r="O434" s="1477"/>
      <c r="P434" s="1477"/>
      <c r="Q434" s="1477"/>
      <c r="R434" s="1477"/>
      <c r="S434" s="1477"/>
      <c r="T434" s="1477"/>
      <c r="U434" s="1477"/>
      <c r="V434" s="1477"/>
      <c r="W434" s="1477"/>
      <c r="X434" s="1477"/>
      <c r="Y434" s="1477"/>
      <c r="Z434" s="1477"/>
    </row>
    <row r="435" spans="1:26" hidden="1"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80"/>
      <c r="G435" s="1480"/>
      <c r="H435" s="1480"/>
      <c r="I435" s="1427" t="str">
        <f t="shared" si="41"/>
        <v/>
      </c>
      <c r="J435" s="1480"/>
      <c r="K435" s="1480" t="str">
        <f t="shared" si="42"/>
        <v/>
      </c>
      <c r="L435" s="907" t="s">
        <v>253</v>
      </c>
      <c r="M435" s="1480">
        <v>404</v>
      </c>
      <c r="N435" s="1480"/>
      <c r="O435" s="1477"/>
      <c r="P435" s="1477"/>
      <c r="Q435" s="1477"/>
      <c r="R435" s="1477"/>
      <c r="S435" s="1477"/>
      <c r="T435" s="1477"/>
      <c r="U435" s="1477"/>
      <c r="V435" s="1477"/>
      <c r="W435" s="1477"/>
      <c r="X435" s="1477"/>
      <c r="Y435" s="1477"/>
      <c r="Z435" s="1477"/>
    </row>
    <row r="436" spans="1:26" hidden="1"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80"/>
      <c r="G436" s="1480"/>
      <c r="H436" s="1480"/>
      <c r="I436" s="1427" t="str">
        <f t="shared" si="41"/>
        <v/>
      </c>
      <c r="J436" s="1480"/>
      <c r="K436" s="1480" t="str">
        <f t="shared" si="42"/>
        <v/>
      </c>
      <c r="L436" s="907" t="s">
        <v>1256</v>
      </c>
      <c r="M436" s="1480">
        <v>405</v>
      </c>
      <c r="N436" s="1480"/>
      <c r="O436" s="1477"/>
      <c r="P436" s="1477"/>
      <c r="Q436" s="1477"/>
      <c r="R436" s="1477"/>
      <c r="S436" s="1477"/>
      <c r="T436" s="1477"/>
      <c r="U436" s="1477"/>
      <c r="V436" s="1477"/>
      <c r="W436" s="1477"/>
      <c r="X436" s="1477"/>
      <c r="Y436" s="1477"/>
      <c r="Z436" s="1477"/>
    </row>
    <row r="437" spans="1:26" hidden="1"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80"/>
      <c r="G437" s="1480"/>
      <c r="H437" s="1480"/>
      <c r="I437" s="1427" t="str">
        <f t="shared" si="41"/>
        <v/>
      </c>
      <c r="J437" s="1480"/>
      <c r="K437" s="1480" t="str">
        <f t="shared" si="42"/>
        <v/>
      </c>
      <c r="L437" s="907" t="s">
        <v>225</v>
      </c>
      <c r="M437" s="1480">
        <v>406</v>
      </c>
      <c r="N437" s="1480"/>
      <c r="O437" s="1477"/>
      <c r="P437" s="1477"/>
      <c r="Q437" s="1477"/>
      <c r="R437" s="1477"/>
      <c r="S437" s="1477"/>
      <c r="T437" s="1477"/>
      <c r="U437" s="1477"/>
      <c r="V437" s="1477"/>
      <c r="W437" s="1477"/>
      <c r="X437" s="1477"/>
      <c r="Y437" s="1477"/>
      <c r="Z437" s="1477"/>
    </row>
    <row r="438" spans="1:26" hidden="1" x14ac:dyDescent="0.25">
      <c r="A438" s="933" t="s">
        <v>465</v>
      </c>
      <c r="B438" s="1427" t="str">
        <f ca="1">_xlfn.CONCAT(IFERROR(SUBSTITUTE(ADDRESS(1,MATCH(A438,INDIRECT("'"&amp;E438&amp;"'"&amp;"!A9:Z9"),0),4),1,""),""),23)</f>
        <v>E23</v>
      </c>
      <c r="C438" s="1427" t="str">
        <f ca="1">_xlfn.CONCAT(IFERROR(SUBSTITUTE(ADDRESS(1,MATCH(A438,INDIRECT("'"&amp;E438&amp;"'"&amp;"!A9:Z9"),0),4),1,""),""))</f>
        <v>E</v>
      </c>
      <c r="D438" s="1480" t="s">
        <v>1372</v>
      </c>
      <c r="E438" s="867" t="s">
        <v>208</v>
      </c>
      <c r="F438" s="1480"/>
      <c r="G438" s="1480"/>
      <c r="H438" s="1480"/>
      <c r="I438" s="1427" t="str">
        <f t="shared" si="41"/>
        <v>Exclude PIM Classes Below</v>
      </c>
      <c r="J438" s="1480" t="str">
        <f t="shared" si="43"/>
        <v>F407</v>
      </c>
      <c r="K438" s="1480" t="str">
        <f t="shared" si="42"/>
        <v>PIM Model</v>
      </c>
      <c r="L438" s="907" t="s">
        <v>465</v>
      </c>
      <c r="M438" s="1480">
        <v>407</v>
      </c>
      <c r="N438" s="1480"/>
      <c r="O438" s="1477"/>
      <c r="P438" s="1477"/>
      <c r="Q438" s="1477"/>
      <c r="R438" s="1477"/>
      <c r="S438" s="1477"/>
      <c r="T438" s="1477"/>
      <c r="U438" s="1477"/>
      <c r="V438" s="1477"/>
      <c r="W438" s="1477"/>
      <c r="X438" s="1477"/>
      <c r="Y438" s="1477"/>
      <c r="Z438" s="1477"/>
    </row>
    <row r="439" spans="1:26" hidden="1"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80"/>
      <c r="G439" s="1480"/>
      <c r="H439" s="1480"/>
      <c r="I439" s="1427" t="str">
        <f t="shared" si="41"/>
        <v>Special Pricing Code</v>
      </c>
      <c r="J439" s="1480" t="str">
        <f t="shared" si="43"/>
        <v>F408</v>
      </c>
      <c r="K439" s="1480" t="str">
        <f t="shared" si="42"/>
        <v>Pricing Schedule</v>
      </c>
      <c r="L439" s="907" t="s">
        <v>1292</v>
      </c>
      <c r="M439" s="1480">
        <v>408</v>
      </c>
      <c r="N439" s="1480"/>
      <c r="O439" s="1477"/>
      <c r="P439" s="1477"/>
      <c r="Q439" s="1477"/>
      <c r="R439" s="1477"/>
      <c r="S439" s="1477"/>
      <c r="T439" s="1477"/>
      <c r="U439" s="1477"/>
      <c r="V439" s="1477"/>
      <c r="W439" s="1477"/>
      <c r="X439" s="1477"/>
      <c r="Y439" s="1477"/>
      <c r="Z439" s="1477"/>
    </row>
    <row r="440" spans="1:26" hidden="1"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80"/>
      <c r="H440" s="1480"/>
      <c r="I440" s="1427" t="str">
        <f t="shared" si="41"/>
        <v>EB Markup Amt</v>
      </c>
      <c r="J440" s="1480" t="str">
        <f t="shared" si="43"/>
        <v>F409</v>
      </c>
      <c r="K440" s="1480" t="str">
        <f t="shared" si="42"/>
        <v>Pricing Schedule</v>
      </c>
      <c r="L440" s="907" t="s">
        <v>1294</v>
      </c>
      <c r="M440" s="1480">
        <v>409</v>
      </c>
      <c r="N440" s="1480"/>
      <c r="O440" s="1477"/>
      <c r="P440" s="1477"/>
      <c r="Q440" s="1477"/>
      <c r="R440" s="1477"/>
      <c r="S440" s="1477"/>
      <c r="T440" s="1477"/>
      <c r="U440" s="1477"/>
      <c r="V440" s="1477"/>
      <c r="W440" s="1477"/>
      <c r="X440" s="1477"/>
      <c r="Y440" s="1477"/>
      <c r="Z440" s="1477"/>
    </row>
    <row r="441" spans="1:26" hidden="1"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80"/>
      <c r="H441" s="1480"/>
      <c r="I441" s="1427" t="str">
        <f t="shared" si="41"/>
        <v>Min CS Markup Override Flag</v>
      </c>
      <c r="J441" s="1480" t="str">
        <f t="shared" si="43"/>
        <v>F410</v>
      </c>
      <c r="K441" s="1480" t="str">
        <f t="shared" si="42"/>
        <v>Pricing Schedule</v>
      </c>
      <c r="L441" s="907" t="s">
        <v>1295</v>
      </c>
      <c r="M441" s="1480">
        <v>410</v>
      </c>
      <c r="N441" s="1480"/>
      <c r="O441" s="1477"/>
      <c r="P441" s="1477"/>
      <c r="Q441" s="1477"/>
      <c r="R441" s="1477"/>
      <c r="S441" s="1477"/>
      <c r="T441" s="1477"/>
      <c r="U441" s="1477"/>
      <c r="V441" s="1477"/>
      <c r="W441" s="1477"/>
      <c r="X441" s="1477"/>
      <c r="Y441" s="1477"/>
      <c r="Z441" s="1477"/>
    </row>
    <row r="442" spans="1:26" hidden="1"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80"/>
      <c r="H442" s="1480"/>
      <c r="I442" s="1427" t="str">
        <f t="shared" si="41"/>
        <v>Min CS Markup Amt</v>
      </c>
      <c r="J442" s="1480" t="str">
        <f t="shared" si="43"/>
        <v>F411</v>
      </c>
      <c r="K442" s="1480" t="str">
        <f t="shared" si="42"/>
        <v>Pricing Schedule</v>
      </c>
      <c r="L442" s="907" t="s">
        <v>1296</v>
      </c>
      <c r="M442" s="1480">
        <v>411</v>
      </c>
      <c r="N442" s="1480"/>
      <c r="O442" s="1477"/>
      <c r="P442" s="1477"/>
      <c r="Q442" s="1477"/>
      <c r="R442" s="1477"/>
      <c r="S442" s="1477"/>
      <c r="T442" s="1477"/>
      <c r="U442" s="1477"/>
      <c r="V442" s="1477"/>
      <c r="W442" s="1477"/>
      <c r="X442" s="1477"/>
      <c r="Y442" s="1477"/>
      <c r="Z442" s="1477"/>
    </row>
    <row r="443" spans="1:26" hidden="1"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80"/>
      <c r="H443" s="1480"/>
      <c r="I443" s="1427" t="str">
        <f t="shared" si="41"/>
        <v>Split Case Fee Override Flag</v>
      </c>
      <c r="J443" s="1480" t="str">
        <f t="shared" si="43"/>
        <v>F412</v>
      </c>
      <c r="K443" s="1480" t="str">
        <f t="shared" si="42"/>
        <v>Pricing Schedule</v>
      </c>
      <c r="L443" s="907" t="s">
        <v>1297</v>
      </c>
      <c r="M443" s="1480">
        <v>412</v>
      </c>
      <c r="N443" s="1480"/>
      <c r="O443" s="1477"/>
      <c r="P443" s="1477"/>
      <c r="Q443" s="1477"/>
      <c r="R443" s="1477"/>
      <c r="S443" s="1477"/>
      <c r="T443" s="1477"/>
      <c r="U443" s="1477"/>
      <c r="V443" s="1477"/>
      <c r="W443" s="1477"/>
      <c r="X443" s="1477"/>
      <c r="Y443" s="1477"/>
      <c r="Z443" s="1477"/>
    </row>
    <row r="444" spans="1:26" hidden="1"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80"/>
      <c r="H444" s="1480"/>
      <c r="I444" s="1427" t="str">
        <f t="shared" si="41"/>
        <v>Split Case Fee</v>
      </c>
      <c r="J444" s="1480" t="str">
        <f t="shared" si="43"/>
        <v>F413</v>
      </c>
      <c r="K444" s="1480" t="str">
        <f t="shared" si="42"/>
        <v>Pricing Schedule</v>
      </c>
      <c r="L444" s="907" t="s">
        <v>1298</v>
      </c>
      <c r="M444" s="1480">
        <v>413</v>
      </c>
      <c r="N444" s="1480"/>
      <c r="O444" s="1477"/>
      <c r="P444" s="1477"/>
      <c r="Q444" s="1477"/>
      <c r="R444" s="1477"/>
      <c r="S444" s="1477"/>
      <c r="T444" s="1477"/>
      <c r="U444" s="1477"/>
      <c r="V444" s="1477"/>
      <c r="W444" s="1477"/>
      <c r="X444" s="1477"/>
      <c r="Y444" s="1477"/>
      <c r="Z444" s="1477"/>
    </row>
    <row r="445" spans="1:26" hidden="1"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80"/>
      <c r="H445" s="1480"/>
      <c r="I445" s="1427" t="str">
        <f t="shared" si="41"/>
        <v>Split Case Per</v>
      </c>
      <c r="J445" s="1480" t="str">
        <f t="shared" si="43"/>
        <v>F414</v>
      </c>
      <c r="K445" s="1480" t="str">
        <f t="shared" si="42"/>
        <v>Pricing Schedule</v>
      </c>
      <c r="L445" s="907" t="s">
        <v>1238</v>
      </c>
      <c r="M445" s="1480">
        <v>414</v>
      </c>
      <c r="N445" s="1480"/>
      <c r="O445" s="1477"/>
      <c r="P445" s="1477"/>
      <c r="Q445" s="1477"/>
      <c r="R445" s="1477"/>
      <c r="S445" s="1477"/>
      <c r="T445" s="1477"/>
      <c r="U445" s="1477"/>
      <c r="V445" s="1477"/>
      <c r="W445" s="1477"/>
      <c r="X445" s="1477"/>
      <c r="Y445" s="1477"/>
      <c r="Z445" s="1477"/>
    </row>
    <row r="446" spans="1:26" hidden="1"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80"/>
      <c r="G446" s="1480"/>
      <c r="H446" s="1480"/>
      <c r="I446" s="1427" t="str">
        <f t="shared" si="41"/>
        <v/>
      </c>
      <c r="J446" s="1480"/>
      <c r="K446" s="1480" t="str">
        <f t="shared" si="42"/>
        <v/>
      </c>
      <c r="L446" s="907" t="s">
        <v>1299</v>
      </c>
      <c r="M446" s="1480">
        <v>415</v>
      </c>
      <c r="N446" s="1480"/>
      <c r="O446" s="1477"/>
      <c r="P446" s="1477"/>
      <c r="Q446" s="1477"/>
      <c r="R446" s="1477"/>
      <c r="S446" s="1477"/>
      <c r="T446" s="1477"/>
      <c r="U446" s="1477"/>
      <c r="V446" s="1477"/>
      <c r="W446" s="1477"/>
      <c r="X446" s="1477"/>
      <c r="Y446" s="1477"/>
      <c r="Z446" s="1477"/>
    </row>
    <row r="447" spans="1:26" hidden="1"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80"/>
      <c r="G447" s="1480"/>
      <c r="H447" s="1480"/>
      <c r="I447" s="1427" t="str">
        <f t="shared" si="41"/>
        <v/>
      </c>
      <c r="J447" s="1480"/>
      <c r="K447" s="1480" t="str">
        <f t="shared" si="42"/>
        <v/>
      </c>
      <c r="L447" s="907" t="s">
        <v>253</v>
      </c>
      <c r="M447" s="52">
        <v>416</v>
      </c>
      <c r="N447" s="1480"/>
      <c r="O447" s="1477"/>
      <c r="P447" s="1477"/>
      <c r="Q447" s="1477"/>
      <c r="R447" s="1477"/>
      <c r="S447" s="1477"/>
      <c r="T447" s="1477"/>
      <c r="U447" s="1477"/>
      <c r="V447" s="1477"/>
      <c r="W447" s="1477"/>
      <c r="X447" s="1477"/>
      <c r="Y447" s="1477"/>
      <c r="Z447" s="1477"/>
    </row>
    <row r="448" spans="1:26" hidden="1"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80"/>
      <c r="G448" s="1480"/>
      <c r="H448" s="1480"/>
      <c r="I448" s="1427" t="str">
        <f t="shared" si="41"/>
        <v/>
      </c>
      <c r="J448" s="1480"/>
      <c r="K448" s="1480" t="str">
        <f t="shared" si="42"/>
        <v/>
      </c>
      <c r="L448" s="907" t="s">
        <v>1256</v>
      </c>
      <c r="M448" s="1480">
        <v>417</v>
      </c>
      <c r="N448" s="1480"/>
      <c r="O448" s="1477"/>
      <c r="P448" s="1477"/>
      <c r="Q448" s="1477"/>
      <c r="R448" s="1477"/>
      <c r="S448" s="1477"/>
      <c r="T448" s="1477"/>
      <c r="U448" s="1477"/>
      <c r="V448" s="1477"/>
      <c r="W448" s="1477"/>
      <c r="X448" s="1477"/>
      <c r="Y448" s="1477"/>
      <c r="Z448" s="1477"/>
    </row>
    <row r="449" spans="1:26" hidden="1"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80"/>
      <c r="G449" s="1480"/>
      <c r="H449" s="1480"/>
      <c r="I449" s="1427" t="str">
        <f t="shared" si="41"/>
        <v/>
      </c>
      <c r="J449" s="1480"/>
      <c r="K449" s="1480" t="str">
        <f t="shared" si="42"/>
        <v/>
      </c>
      <c r="L449" s="907" t="s">
        <v>225</v>
      </c>
      <c r="M449" s="1480">
        <v>418</v>
      </c>
      <c r="N449" s="1480"/>
      <c r="O449" s="1477"/>
      <c r="P449" s="1477"/>
      <c r="Q449" s="1477"/>
      <c r="R449" s="1477"/>
      <c r="S449" s="1477"/>
      <c r="T449" s="1477"/>
      <c r="U449" s="1477"/>
      <c r="V449" s="1477"/>
      <c r="W449" s="1477"/>
      <c r="X449" s="1477"/>
      <c r="Y449" s="1477"/>
      <c r="Z449" s="1477"/>
    </row>
    <row r="450" spans="1:26" hidden="1" x14ac:dyDescent="0.25">
      <c r="A450" s="930" t="s">
        <v>465</v>
      </c>
      <c r="B450" s="1427" t="str">
        <f ca="1">_xlfn.CONCAT(IFERROR(SUBSTITUTE(ADDRESS(1,MATCH(A450,INDIRECT("'"&amp;E450&amp;"'"&amp;"!A9:Z9"),0),4),1,""),""),24)</f>
        <v>E24</v>
      </c>
      <c r="C450" s="1427" t="str">
        <f ca="1">_xlfn.CONCAT(IFERROR(SUBSTITUTE(ADDRESS(1,MATCH(A450,INDIRECT("'"&amp;E450&amp;"'"&amp;"!A9:Z9"),0),4),1,""),""))</f>
        <v>E</v>
      </c>
      <c r="D450" s="1480" t="s">
        <v>1372</v>
      </c>
      <c r="E450" s="867" t="s">
        <v>208</v>
      </c>
      <c r="F450" s="1480"/>
      <c r="G450" s="1480"/>
      <c r="H450" s="1480"/>
      <c r="I450" s="1427" t="str">
        <f t="shared" si="41"/>
        <v>Exclude PIM Classes Below</v>
      </c>
      <c r="J450" s="1480" t="str">
        <f t="shared" si="43"/>
        <v>F419</v>
      </c>
      <c r="K450" s="1480" t="str">
        <f t="shared" si="42"/>
        <v>PIM Model</v>
      </c>
      <c r="L450" s="907" t="s">
        <v>465</v>
      </c>
      <c r="M450" s="1480">
        <v>419</v>
      </c>
      <c r="N450" s="1480"/>
      <c r="O450" s="1477"/>
      <c r="P450" s="1477"/>
      <c r="Q450" s="1477"/>
      <c r="R450" s="1477"/>
      <c r="S450" s="1477"/>
      <c r="T450" s="1477"/>
      <c r="U450" s="1477"/>
      <c r="V450" s="1477"/>
      <c r="W450" s="1477"/>
      <c r="X450" s="1477"/>
      <c r="Y450" s="1477"/>
      <c r="Z450" s="1477"/>
    </row>
    <row r="451" spans="1:26" hidden="1"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80"/>
      <c r="G451" s="1480"/>
      <c r="H451" s="1480"/>
      <c r="I451" s="1427" t="str">
        <f t="shared" si="41"/>
        <v>Special Pricing Code</v>
      </c>
      <c r="J451" s="1480" t="str">
        <f t="shared" si="43"/>
        <v>F420</v>
      </c>
      <c r="K451" s="1480" t="str">
        <f t="shared" si="42"/>
        <v>Pricing Schedule</v>
      </c>
      <c r="L451" s="907" t="s">
        <v>1292</v>
      </c>
      <c r="M451" s="1480">
        <v>420</v>
      </c>
      <c r="N451" s="1480"/>
      <c r="O451" s="1477"/>
      <c r="P451" s="1477"/>
      <c r="Q451" s="1477"/>
      <c r="R451" s="1477"/>
      <c r="S451" s="1477"/>
      <c r="T451" s="1477"/>
      <c r="U451" s="1477"/>
      <c r="V451" s="1477"/>
      <c r="W451" s="1477"/>
      <c r="X451" s="1477"/>
      <c r="Y451" s="1477"/>
      <c r="Z451" s="1477"/>
    </row>
    <row r="452" spans="1:26" hidden="1"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80"/>
      <c r="H452" s="1480"/>
      <c r="I452" s="1427" t="str">
        <f t="shared" ref="I452:I515" si="44">IF(J452&lt;&gt;"",A452,"")</f>
        <v>EB Markup Amt</v>
      </c>
      <c r="J452" s="1480" t="str">
        <f t="shared" si="43"/>
        <v>F421</v>
      </c>
      <c r="K452" s="1480" t="str">
        <f t="shared" ref="K452:K515" si="45">IF(J452&lt;&gt;"",E452,"")</f>
        <v>Pricing Schedule</v>
      </c>
      <c r="L452" s="907" t="s">
        <v>1294</v>
      </c>
      <c r="M452" s="1480">
        <v>421</v>
      </c>
      <c r="N452" s="1480"/>
      <c r="O452" s="1477"/>
      <c r="P452" s="1477"/>
      <c r="Q452" s="1477"/>
      <c r="R452" s="1477"/>
      <c r="S452" s="1477"/>
      <c r="T452" s="1477"/>
      <c r="U452" s="1477"/>
      <c r="V452" s="1477"/>
      <c r="W452" s="1477"/>
      <c r="X452" s="1477"/>
      <c r="Y452" s="1477"/>
      <c r="Z452" s="1477"/>
    </row>
    <row r="453" spans="1:26" hidden="1"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80"/>
      <c r="H453" s="1480"/>
      <c r="I453" s="1427" t="str">
        <f t="shared" si="44"/>
        <v>Min CS Markup Override Flag</v>
      </c>
      <c r="J453" s="1480" t="str">
        <f t="shared" si="43"/>
        <v>F422</v>
      </c>
      <c r="K453" s="1480" t="str">
        <f t="shared" si="45"/>
        <v>Pricing Schedule</v>
      </c>
      <c r="L453" s="907" t="s">
        <v>1295</v>
      </c>
      <c r="M453" s="1480">
        <v>422</v>
      </c>
      <c r="N453" s="1480"/>
      <c r="O453" s="1477"/>
      <c r="P453" s="1477"/>
      <c r="Q453" s="1477"/>
      <c r="R453" s="1477"/>
      <c r="S453" s="1477"/>
      <c r="T453" s="1477"/>
      <c r="U453" s="1477"/>
      <c r="V453" s="1477"/>
      <c r="W453" s="1477"/>
      <c r="X453" s="1477"/>
      <c r="Y453" s="1477"/>
      <c r="Z453" s="1477"/>
    </row>
    <row r="454" spans="1:26" hidden="1"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80"/>
      <c r="H454" s="1480"/>
      <c r="I454" s="1427" t="str">
        <f t="shared" si="44"/>
        <v>Min CS Markup Amt</v>
      </c>
      <c r="J454" s="1480" t="str">
        <f t="shared" ref="J454:J517" si="46">IF(M454&lt;&gt;"",Q$1&amp;M454,"")</f>
        <v>F423</v>
      </c>
      <c r="K454" s="1480" t="str">
        <f t="shared" si="45"/>
        <v>Pricing Schedule</v>
      </c>
      <c r="L454" s="907" t="s">
        <v>1296</v>
      </c>
      <c r="M454" s="1480">
        <v>423</v>
      </c>
      <c r="N454" s="1480"/>
      <c r="O454" s="1477"/>
      <c r="P454" s="1477"/>
      <c r="Q454" s="1477"/>
      <c r="R454" s="1477"/>
      <c r="S454" s="1477"/>
      <c r="T454" s="1477"/>
      <c r="U454" s="1477"/>
      <c r="V454" s="1477"/>
      <c r="W454" s="1477"/>
      <c r="X454" s="1477"/>
      <c r="Y454" s="1477"/>
      <c r="Z454" s="1477"/>
    </row>
    <row r="455" spans="1:26" hidden="1"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80"/>
      <c r="H455" s="1480"/>
      <c r="I455" s="1427" t="str">
        <f t="shared" si="44"/>
        <v>Split Case Fee Override Flag</v>
      </c>
      <c r="J455" s="1480" t="str">
        <f t="shared" si="46"/>
        <v>F424</v>
      </c>
      <c r="K455" s="1480" t="str">
        <f t="shared" si="45"/>
        <v>Pricing Schedule</v>
      </c>
      <c r="L455" s="907" t="s">
        <v>1297</v>
      </c>
      <c r="M455" s="1480">
        <v>424</v>
      </c>
      <c r="N455" s="1480"/>
      <c r="O455" s="1477"/>
      <c r="P455" s="1477"/>
      <c r="Q455" s="1477"/>
      <c r="R455" s="1477"/>
      <c r="S455" s="1477"/>
      <c r="T455" s="1477"/>
      <c r="U455" s="1477"/>
      <c r="V455" s="1477"/>
      <c r="W455" s="1477"/>
      <c r="X455" s="1477"/>
      <c r="Y455" s="1477"/>
      <c r="Z455" s="1477"/>
    </row>
    <row r="456" spans="1:26" hidden="1"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80"/>
      <c r="H456" s="1480"/>
      <c r="I456" s="1427" t="str">
        <f t="shared" si="44"/>
        <v>Split Case Fee</v>
      </c>
      <c r="J456" s="1480" t="str">
        <f t="shared" si="46"/>
        <v>F425</v>
      </c>
      <c r="K456" s="1480" t="str">
        <f t="shared" si="45"/>
        <v>Pricing Schedule</v>
      </c>
      <c r="L456" s="907" t="s">
        <v>1298</v>
      </c>
      <c r="M456" s="1480">
        <v>425</v>
      </c>
      <c r="N456" s="1480"/>
      <c r="O456" s="1477"/>
      <c r="P456" s="1477"/>
      <c r="Q456" s="1477"/>
      <c r="R456" s="1477"/>
      <c r="S456" s="1477"/>
      <c r="T456" s="1477"/>
      <c r="U456" s="1477"/>
      <c r="V456" s="1477"/>
      <c r="W456" s="1477"/>
      <c r="X456" s="1477"/>
      <c r="Y456" s="1477"/>
      <c r="Z456" s="1477"/>
    </row>
    <row r="457" spans="1:26" hidden="1"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80"/>
      <c r="H457" s="1480"/>
      <c r="I457" s="1427" t="str">
        <f t="shared" si="44"/>
        <v>Split Case Per</v>
      </c>
      <c r="J457" s="1480" t="str">
        <f t="shared" si="46"/>
        <v>F426</v>
      </c>
      <c r="K457" s="1480" t="str">
        <f t="shared" si="45"/>
        <v>Pricing Schedule</v>
      </c>
      <c r="L457" s="907" t="s">
        <v>1238</v>
      </c>
      <c r="M457" s="1480">
        <v>426</v>
      </c>
      <c r="N457" s="1480"/>
      <c r="O457" s="1477"/>
      <c r="P457" s="1477"/>
      <c r="Q457" s="1477"/>
      <c r="R457" s="1477"/>
      <c r="S457" s="1477"/>
      <c r="T457" s="1477"/>
      <c r="U457" s="1477"/>
      <c r="V457" s="1477"/>
      <c r="W457" s="1477"/>
      <c r="X457" s="1477"/>
      <c r="Y457" s="1477"/>
      <c r="Z457" s="1477"/>
    </row>
    <row r="458" spans="1:26" hidden="1"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80"/>
      <c r="G458" s="1480"/>
      <c r="H458" s="1480"/>
      <c r="I458" s="1427" t="str">
        <f t="shared" si="44"/>
        <v/>
      </c>
      <c r="J458" s="1480"/>
      <c r="K458" s="1480" t="str">
        <f t="shared" si="45"/>
        <v/>
      </c>
      <c r="L458" s="907" t="s">
        <v>1299</v>
      </c>
      <c r="M458" s="1480">
        <v>427</v>
      </c>
      <c r="N458" s="1480"/>
      <c r="O458" s="1477"/>
      <c r="P458" s="1477"/>
      <c r="Q458" s="1477"/>
      <c r="R458" s="1477"/>
      <c r="S458" s="1477"/>
      <c r="T458" s="1477"/>
      <c r="U458" s="1477"/>
      <c r="V458" s="1477"/>
      <c r="W458" s="1477"/>
      <c r="X458" s="1477"/>
      <c r="Y458" s="1477"/>
      <c r="Z458" s="1477"/>
    </row>
    <row r="459" spans="1:26" hidden="1"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80"/>
      <c r="G459" s="1480"/>
      <c r="H459" s="1480"/>
      <c r="I459" s="1427" t="str">
        <f t="shared" si="44"/>
        <v/>
      </c>
      <c r="J459" s="1480"/>
      <c r="K459" s="1480" t="str">
        <f t="shared" si="45"/>
        <v/>
      </c>
      <c r="L459" s="907" t="s">
        <v>253</v>
      </c>
      <c r="M459" s="1480">
        <v>428</v>
      </c>
      <c r="N459" s="1480"/>
      <c r="O459" s="1477"/>
      <c r="P459" s="1477"/>
      <c r="Q459" s="1477"/>
      <c r="R459" s="1477"/>
      <c r="S459" s="1477"/>
      <c r="T459" s="1477"/>
      <c r="U459" s="1477"/>
      <c r="V459" s="1477"/>
      <c r="W459" s="1477"/>
      <c r="X459" s="1477"/>
      <c r="Y459" s="1477"/>
      <c r="Z459" s="1477"/>
    </row>
    <row r="460" spans="1:26" hidden="1"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80"/>
      <c r="G460" s="1480"/>
      <c r="H460" s="1480"/>
      <c r="I460" s="1427" t="str">
        <f t="shared" si="44"/>
        <v/>
      </c>
      <c r="J460" s="1480"/>
      <c r="K460" s="1480" t="str">
        <f t="shared" si="45"/>
        <v/>
      </c>
      <c r="L460" s="907" t="s">
        <v>1256</v>
      </c>
      <c r="M460" s="1480">
        <v>429</v>
      </c>
      <c r="N460" s="1480"/>
      <c r="O460" s="1477"/>
      <c r="P460" s="1477"/>
      <c r="Q460" s="1477"/>
      <c r="R460" s="1477"/>
      <c r="S460" s="1477"/>
      <c r="T460" s="1477"/>
      <c r="U460" s="1477"/>
      <c r="V460" s="1477"/>
      <c r="W460" s="1477"/>
      <c r="X460" s="1477"/>
      <c r="Y460" s="1477"/>
      <c r="Z460" s="1477"/>
    </row>
    <row r="461" spans="1:26" hidden="1"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80"/>
      <c r="G461" s="1480"/>
      <c r="H461" s="1480"/>
      <c r="I461" s="1427" t="str">
        <f t="shared" si="44"/>
        <v/>
      </c>
      <c r="J461" s="1480"/>
      <c r="K461" s="1480" t="str">
        <f t="shared" si="45"/>
        <v/>
      </c>
      <c r="L461" s="907" t="s">
        <v>225</v>
      </c>
      <c r="M461" s="1480">
        <v>430</v>
      </c>
      <c r="N461" s="1480"/>
      <c r="O461" s="1477"/>
      <c r="P461" s="1477"/>
      <c r="Q461" s="1477"/>
      <c r="R461" s="1477"/>
      <c r="S461" s="1477"/>
      <c r="T461" s="1477"/>
      <c r="U461" s="1477"/>
      <c r="V461" s="1477"/>
      <c r="W461" s="1477"/>
      <c r="X461" s="1477"/>
      <c r="Y461" s="1477"/>
      <c r="Z461" s="1477"/>
    </row>
    <row r="462" spans="1:26" hidden="1" x14ac:dyDescent="0.25">
      <c r="A462" s="933" t="s">
        <v>465</v>
      </c>
      <c r="B462" s="1427" t="str">
        <f ca="1">_xlfn.CONCAT(IFERROR(SUBSTITUTE(ADDRESS(1,MATCH(A462,INDIRECT("'"&amp;E462&amp;"'"&amp;"!A9:Z9"),0),4),1,""),""),25)</f>
        <v>E25</v>
      </c>
      <c r="C462" s="1427" t="str">
        <f ca="1">_xlfn.CONCAT(IFERROR(SUBSTITUTE(ADDRESS(1,MATCH(A462,INDIRECT("'"&amp;E462&amp;"'"&amp;"!A9:Z9"),0),4),1,""),""))</f>
        <v>E</v>
      </c>
      <c r="D462" s="1480" t="s">
        <v>1372</v>
      </c>
      <c r="E462" s="867" t="s">
        <v>208</v>
      </c>
      <c r="F462" s="1480"/>
      <c r="G462" s="1480"/>
      <c r="H462" s="1480"/>
      <c r="I462" s="1427" t="str">
        <f t="shared" si="44"/>
        <v>Exclude PIM Classes Below</v>
      </c>
      <c r="J462" s="1480" t="str">
        <f t="shared" si="46"/>
        <v>F431</v>
      </c>
      <c r="K462" s="1480" t="str">
        <f t="shared" si="45"/>
        <v>PIM Model</v>
      </c>
      <c r="L462" s="907" t="s">
        <v>465</v>
      </c>
      <c r="M462" s="1480">
        <v>431</v>
      </c>
      <c r="N462" s="1480"/>
      <c r="O462" s="1477"/>
      <c r="P462" s="1477"/>
      <c r="Q462" s="1477"/>
      <c r="R462" s="1477"/>
      <c r="S462" s="1477"/>
      <c r="T462" s="1477"/>
      <c r="U462" s="1477"/>
      <c r="V462" s="1477"/>
      <c r="W462" s="1477"/>
      <c r="X462" s="1477"/>
      <c r="Y462" s="1477"/>
      <c r="Z462" s="1477"/>
    </row>
    <row r="463" spans="1:26" hidden="1"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80"/>
      <c r="G463" s="1480"/>
      <c r="H463" s="1480"/>
      <c r="I463" s="1427" t="str">
        <f t="shared" si="44"/>
        <v>Special Pricing Code</v>
      </c>
      <c r="J463" s="1480" t="str">
        <f t="shared" si="46"/>
        <v>F432</v>
      </c>
      <c r="K463" s="1480" t="str">
        <f t="shared" si="45"/>
        <v>Pricing Schedule</v>
      </c>
      <c r="L463" s="907" t="s">
        <v>1292</v>
      </c>
      <c r="M463" s="1480">
        <v>432</v>
      </c>
      <c r="N463" s="1480"/>
      <c r="O463" s="1477"/>
      <c r="P463" s="1477"/>
      <c r="Q463" s="1477"/>
      <c r="R463" s="1477"/>
      <c r="S463" s="1477"/>
      <c r="T463" s="1477"/>
      <c r="U463" s="1477"/>
      <c r="V463" s="1477"/>
      <c r="W463" s="1477"/>
      <c r="X463" s="1477"/>
      <c r="Y463" s="1477"/>
      <c r="Z463" s="1477"/>
    </row>
    <row r="464" spans="1:26" hidden="1"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80"/>
      <c r="H464" s="1480"/>
      <c r="I464" s="1427" t="str">
        <f t="shared" si="44"/>
        <v>EB Markup Amt</v>
      </c>
      <c r="J464" s="1480" t="str">
        <f t="shared" si="46"/>
        <v>F433</v>
      </c>
      <c r="K464" s="1480" t="str">
        <f t="shared" si="45"/>
        <v>Pricing Schedule</v>
      </c>
      <c r="L464" s="907" t="s">
        <v>1294</v>
      </c>
      <c r="M464" s="1480">
        <v>433</v>
      </c>
      <c r="N464" s="1480"/>
      <c r="O464" s="1477"/>
      <c r="P464" s="1477"/>
      <c r="Q464" s="1477"/>
      <c r="R464" s="1477"/>
      <c r="S464" s="1477"/>
      <c r="T464" s="1477"/>
      <c r="U464" s="1477"/>
      <c r="V464" s="1477"/>
      <c r="W464" s="1477"/>
      <c r="X464" s="1477"/>
      <c r="Y464" s="1477"/>
      <c r="Z464" s="1477"/>
    </row>
    <row r="465" spans="1:26" hidden="1"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80"/>
      <c r="H465" s="1480"/>
      <c r="I465" s="1427" t="str">
        <f t="shared" si="44"/>
        <v>Min CS Markup Override Flag</v>
      </c>
      <c r="J465" s="1480" t="str">
        <f t="shared" si="46"/>
        <v>F434</v>
      </c>
      <c r="K465" s="1480" t="str">
        <f t="shared" si="45"/>
        <v>Pricing Schedule</v>
      </c>
      <c r="L465" s="907" t="s">
        <v>1295</v>
      </c>
      <c r="M465" s="1480">
        <v>434</v>
      </c>
      <c r="N465" s="1480"/>
      <c r="O465" s="1477"/>
      <c r="P465" s="1477"/>
      <c r="Q465" s="1477"/>
      <c r="R465" s="1477"/>
      <c r="S465" s="1477"/>
      <c r="T465" s="1477"/>
      <c r="U465" s="1477"/>
      <c r="V465" s="1477"/>
      <c r="W465" s="1477"/>
      <c r="X465" s="1477"/>
      <c r="Y465" s="1477"/>
      <c r="Z465" s="1477"/>
    </row>
    <row r="466" spans="1:26" hidden="1"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80"/>
      <c r="H466" s="1480"/>
      <c r="I466" s="1427" t="str">
        <f t="shared" si="44"/>
        <v>Min CS Markup Amt</v>
      </c>
      <c r="J466" s="1480" t="str">
        <f t="shared" si="46"/>
        <v>F435</v>
      </c>
      <c r="K466" s="1480" t="str">
        <f t="shared" si="45"/>
        <v>Pricing Schedule</v>
      </c>
      <c r="L466" s="907" t="s">
        <v>1296</v>
      </c>
      <c r="M466" s="1480">
        <v>435</v>
      </c>
      <c r="N466" s="1480"/>
      <c r="O466" s="1477"/>
      <c r="P466" s="1477"/>
      <c r="Q466" s="1477"/>
      <c r="R466" s="1477"/>
      <c r="S466" s="1477"/>
      <c r="T466" s="1477"/>
      <c r="U466" s="1477"/>
      <c r="V466" s="1477"/>
      <c r="W466" s="1477"/>
      <c r="X466" s="1477"/>
      <c r="Y466" s="1477"/>
      <c r="Z466" s="1477"/>
    </row>
    <row r="467" spans="1:26" hidden="1"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80"/>
      <c r="H467" s="1480"/>
      <c r="I467" s="1427" t="str">
        <f t="shared" si="44"/>
        <v>Split Case Fee Override Flag</v>
      </c>
      <c r="J467" s="1480" t="str">
        <f t="shared" si="46"/>
        <v>F436</v>
      </c>
      <c r="K467" s="1480" t="str">
        <f t="shared" si="45"/>
        <v>Pricing Schedule</v>
      </c>
      <c r="L467" s="907" t="s">
        <v>1297</v>
      </c>
      <c r="M467" s="1480">
        <v>436</v>
      </c>
      <c r="N467" s="1480"/>
      <c r="O467" s="1477"/>
      <c r="P467" s="1477"/>
      <c r="Q467" s="1477"/>
      <c r="R467" s="1477"/>
      <c r="S467" s="1477"/>
      <c r="T467" s="1477"/>
      <c r="U467" s="1477"/>
      <c r="V467" s="1477"/>
      <c r="W467" s="1477"/>
      <c r="X467" s="1477"/>
      <c r="Y467" s="1477"/>
      <c r="Z467" s="1477"/>
    </row>
    <row r="468" spans="1:26" hidden="1"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80"/>
      <c r="H468" s="1480"/>
      <c r="I468" s="1427" t="str">
        <f t="shared" si="44"/>
        <v>Split Case Fee</v>
      </c>
      <c r="J468" s="1480" t="str">
        <f t="shared" si="46"/>
        <v>F437</v>
      </c>
      <c r="K468" s="1480" t="str">
        <f t="shared" si="45"/>
        <v>Pricing Schedule</v>
      </c>
      <c r="L468" s="907" t="s">
        <v>1298</v>
      </c>
      <c r="M468" s="1480">
        <v>437</v>
      </c>
      <c r="N468" s="1480"/>
      <c r="O468" s="1477"/>
      <c r="P468" s="1477"/>
      <c r="Q468" s="1477"/>
      <c r="R468" s="1477"/>
      <c r="S468" s="1477"/>
      <c r="T468" s="1477"/>
      <c r="U468" s="1477"/>
      <c r="V468" s="1477"/>
      <c r="W468" s="1477"/>
      <c r="X468" s="1477"/>
      <c r="Y468" s="1477"/>
      <c r="Z468" s="1477"/>
    </row>
    <row r="469" spans="1:26" hidden="1"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80"/>
      <c r="H469" s="1480"/>
      <c r="I469" s="1427" t="str">
        <f t="shared" si="44"/>
        <v>Split Case Per</v>
      </c>
      <c r="J469" s="1480" t="str">
        <f t="shared" si="46"/>
        <v>F438</v>
      </c>
      <c r="K469" s="1480" t="str">
        <f t="shared" si="45"/>
        <v>Pricing Schedule</v>
      </c>
      <c r="L469" s="907" t="s">
        <v>1238</v>
      </c>
      <c r="M469" s="1480">
        <v>438</v>
      </c>
      <c r="N469" s="1480"/>
      <c r="O469" s="1477"/>
      <c r="P469" s="1477"/>
      <c r="Q469" s="1477"/>
      <c r="R469" s="1477"/>
      <c r="S469" s="1477"/>
      <c r="T469" s="1477"/>
      <c r="U469" s="1477"/>
      <c r="V469" s="1477"/>
      <c r="W469" s="1477"/>
      <c r="X469" s="1477"/>
      <c r="Y469" s="1477"/>
      <c r="Z469" s="1477"/>
    </row>
    <row r="470" spans="1:26" hidden="1"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80"/>
      <c r="G470" s="1480"/>
      <c r="H470" s="1480"/>
      <c r="I470" s="1427" t="str">
        <f t="shared" si="44"/>
        <v/>
      </c>
      <c r="J470" s="1480"/>
      <c r="K470" s="1480" t="str">
        <f t="shared" si="45"/>
        <v/>
      </c>
      <c r="L470" s="907" t="s">
        <v>1299</v>
      </c>
      <c r="M470" s="1480">
        <v>439</v>
      </c>
      <c r="N470" s="1480"/>
      <c r="O470" s="1477"/>
      <c r="P470" s="1477"/>
      <c r="Q470" s="1477"/>
      <c r="R470" s="1477"/>
      <c r="S470" s="1477"/>
      <c r="T470" s="1477"/>
      <c r="U470" s="1477"/>
      <c r="V470" s="1477"/>
      <c r="W470" s="1477"/>
      <c r="X470" s="1477"/>
      <c r="Y470" s="1477"/>
      <c r="Z470" s="1477"/>
    </row>
    <row r="471" spans="1:26" hidden="1"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80"/>
      <c r="G471" s="1480"/>
      <c r="H471" s="1480"/>
      <c r="I471" s="1427" t="str">
        <f t="shared" si="44"/>
        <v/>
      </c>
      <c r="J471" s="1480"/>
      <c r="K471" s="1480" t="str">
        <f t="shared" si="45"/>
        <v/>
      </c>
      <c r="L471" s="907" t="s">
        <v>253</v>
      </c>
      <c r="M471" s="1480">
        <v>440</v>
      </c>
      <c r="N471" s="1480"/>
      <c r="O471" s="1477"/>
      <c r="P471" s="1477"/>
      <c r="Q471" s="1477"/>
      <c r="R471" s="1477"/>
      <c r="S471" s="1477"/>
      <c r="T471" s="1477"/>
      <c r="U471" s="1477"/>
      <c r="V471" s="1477"/>
      <c r="W471" s="1477"/>
      <c r="X471" s="1477"/>
      <c r="Y471" s="1477"/>
      <c r="Z471" s="1477"/>
    </row>
    <row r="472" spans="1:26" hidden="1"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80"/>
      <c r="G472" s="1480"/>
      <c r="H472" s="1480"/>
      <c r="I472" s="1427" t="str">
        <f t="shared" si="44"/>
        <v/>
      </c>
      <c r="J472" s="1480"/>
      <c r="K472" s="1480" t="str">
        <f t="shared" si="45"/>
        <v/>
      </c>
      <c r="L472" s="907" t="s">
        <v>1256</v>
      </c>
      <c r="M472" s="1480">
        <v>441</v>
      </c>
      <c r="N472" s="1480"/>
      <c r="O472" s="1477"/>
      <c r="P472" s="1477"/>
      <c r="Q472" s="1477"/>
      <c r="R472" s="1477"/>
      <c r="S472" s="1477"/>
      <c r="T472" s="1477"/>
      <c r="U472" s="1477"/>
      <c r="V472" s="1477"/>
      <c r="W472" s="1477"/>
      <c r="X472" s="1477"/>
      <c r="Y472" s="1477"/>
      <c r="Z472" s="1477"/>
    </row>
    <row r="473" spans="1:26" hidden="1"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80"/>
      <c r="G473" s="1480"/>
      <c r="H473" s="1480"/>
      <c r="I473" s="1427" t="str">
        <f t="shared" si="44"/>
        <v/>
      </c>
      <c r="J473" s="1480"/>
      <c r="K473" s="1480" t="str">
        <f t="shared" si="45"/>
        <v/>
      </c>
      <c r="L473" s="907" t="s">
        <v>225</v>
      </c>
      <c r="M473" s="1480">
        <v>442</v>
      </c>
      <c r="N473" s="1480"/>
      <c r="O473" s="1477"/>
      <c r="P473" s="1477"/>
      <c r="Q473" s="1477"/>
      <c r="R473" s="1477"/>
      <c r="S473" s="1477"/>
      <c r="T473" s="1477"/>
      <c r="U473" s="1477"/>
      <c r="V473" s="1477"/>
      <c r="W473" s="1477"/>
      <c r="X473" s="1477"/>
      <c r="Y473" s="1477"/>
      <c r="Z473" s="1477"/>
    </row>
    <row r="474" spans="1:26" hidden="1" x14ac:dyDescent="0.25">
      <c r="A474" s="930" t="s">
        <v>465</v>
      </c>
      <c r="B474" s="1427" t="str">
        <f ca="1">_xlfn.CONCAT(IFERROR(SUBSTITUTE(ADDRESS(1,MATCH(A474,INDIRECT("'"&amp;E474&amp;"'"&amp;"!A9:Z9"),0),4),1,""),""),26)</f>
        <v>E26</v>
      </c>
      <c r="C474" s="1427" t="str">
        <f ca="1">_xlfn.CONCAT(IFERROR(SUBSTITUTE(ADDRESS(1,MATCH(A474,INDIRECT("'"&amp;E474&amp;"'"&amp;"!A9:Z9"),0),4),1,""),""))</f>
        <v>E</v>
      </c>
      <c r="D474" s="1480" t="s">
        <v>1372</v>
      </c>
      <c r="E474" s="867" t="s">
        <v>208</v>
      </c>
      <c r="F474" s="1480"/>
      <c r="G474" s="1480"/>
      <c r="H474" s="1480"/>
      <c r="I474" s="1427" t="str">
        <f t="shared" si="44"/>
        <v>Exclude PIM Classes Below</v>
      </c>
      <c r="J474" s="1480" t="str">
        <f t="shared" si="46"/>
        <v>F443</v>
      </c>
      <c r="K474" s="1480" t="str">
        <f t="shared" si="45"/>
        <v>PIM Model</v>
      </c>
      <c r="L474" s="907" t="s">
        <v>465</v>
      </c>
      <c r="M474" s="1480">
        <v>443</v>
      </c>
      <c r="N474" s="1480"/>
      <c r="O474" s="1477"/>
      <c r="P474" s="1477"/>
      <c r="Q474" s="1477"/>
      <c r="R474" s="1477"/>
      <c r="S474" s="1477"/>
      <c r="T474" s="1477"/>
      <c r="U474" s="1477"/>
      <c r="V474" s="1477"/>
      <c r="W474" s="1477"/>
      <c r="X474" s="1477"/>
      <c r="Y474" s="1477"/>
      <c r="Z474" s="1477"/>
    </row>
    <row r="475" spans="1:26" hidden="1"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80"/>
      <c r="G475" s="1480"/>
      <c r="H475" s="1480"/>
      <c r="I475" s="1427" t="str">
        <f t="shared" si="44"/>
        <v>Special Pricing Code</v>
      </c>
      <c r="J475" s="1480" t="str">
        <f t="shared" si="46"/>
        <v>F444</v>
      </c>
      <c r="K475" s="1480" t="str">
        <f t="shared" si="45"/>
        <v>Pricing Schedule</v>
      </c>
      <c r="L475" s="907" t="s">
        <v>1292</v>
      </c>
      <c r="M475" s="1480">
        <v>444</v>
      </c>
      <c r="N475" s="1480"/>
      <c r="O475" s="1477"/>
      <c r="P475" s="1477"/>
      <c r="Q475" s="1477"/>
      <c r="R475" s="1477"/>
      <c r="S475" s="1477"/>
      <c r="T475" s="1477"/>
      <c r="U475" s="1477"/>
      <c r="V475" s="1477"/>
      <c r="W475" s="1477"/>
      <c r="X475" s="1477"/>
      <c r="Y475" s="1477"/>
      <c r="Z475" s="1477"/>
    </row>
    <row r="476" spans="1:26" hidden="1"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80"/>
      <c r="H476" s="1480"/>
      <c r="I476" s="1427" t="str">
        <f t="shared" si="44"/>
        <v>EB Markup Amt</v>
      </c>
      <c r="J476" s="1480" t="str">
        <f t="shared" si="46"/>
        <v>F445</v>
      </c>
      <c r="K476" s="1480" t="str">
        <f t="shared" si="45"/>
        <v>Pricing Schedule</v>
      </c>
      <c r="L476" s="907" t="s">
        <v>1294</v>
      </c>
      <c r="M476" s="1480">
        <v>445</v>
      </c>
      <c r="N476" s="1480"/>
      <c r="O476" s="1477"/>
      <c r="P476" s="1477"/>
      <c r="Q476" s="1477"/>
      <c r="R476" s="1477"/>
      <c r="S476" s="1477"/>
      <c r="T476" s="1477"/>
      <c r="U476" s="1477"/>
      <c r="V476" s="1477"/>
      <c r="W476" s="1477"/>
      <c r="X476" s="1477"/>
      <c r="Y476" s="1477"/>
      <c r="Z476" s="1477"/>
    </row>
    <row r="477" spans="1:26" hidden="1"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80"/>
      <c r="H477" s="1480"/>
      <c r="I477" s="1427" t="str">
        <f t="shared" si="44"/>
        <v>Min CS Markup Override Flag</v>
      </c>
      <c r="J477" s="1480" t="str">
        <f t="shared" si="46"/>
        <v>F446</v>
      </c>
      <c r="K477" s="1480" t="str">
        <f t="shared" si="45"/>
        <v>Pricing Schedule</v>
      </c>
      <c r="L477" s="907" t="s">
        <v>1295</v>
      </c>
      <c r="M477" s="1480">
        <v>446</v>
      </c>
      <c r="N477" s="1480"/>
      <c r="O477" s="1477"/>
      <c r="P477" s="1477"/>
      <c r="Q477" s="1477"/>
      <c r="R477" s="1477"/>
      <c r="S477" s="1477"/>
      <c r="T477" s="1477"/>
      <c r="U477" s="1477"/>
      <c r="V477" s="1477"/>
      <c r="W477" s="1477"/>
      <c r="X477" s="1477"/>
      <c r="Y477" s="1477"/>
      <c r="Z477" s="1477"/>
    </row>
    <row r="478" spans="1:26" hidden="1"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80"/>
      <c r="H478" s="1480"/>
      <c r="I478" s="1427" t="str">
        <f t="shared" si="44"/>
        <v>Min CS Markup Amt</v>
      </c>
      <c r="J478" s="1480" t="str">
        <f t="shared" si="46"/>
        <v>F447</v>
      </c>
      <c r="K478" s="1480" t="str">
        <f t="shared" si="45"/>
        <v>Pricing Schedule</v>
      </c>
      <c r="L478" s="907" t="s">
        <v>1296</v>
      </c>
      <c r="M478" s="1480">
        <v>447</v>
      </c>
      <c r="N478" s="1480"/>
      <c r="O478" s="1477"/>
      <c r="P478" s="1477"/>
      <c r="Q478" s="1477"/>
      <c r="R478" s="1477"/>
      <c r="S478" s="1477"/>
      <c r="T478" s="1477"/>
      <c r="U478" s="1477"/>
      <c r="V478" s="1477"/>
      <c r="W478" s="1477"/>
      <c r="X478" s="1477"/>
      <c r="Y478" s="1477"/>
      <c r="Z478" s="1477"/>
    </row>
    <row r="479" spans="1:26" hidden="1"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80"/>
      <c r="H479" s="1480"/>
      <c r="I479" s="1427" t="str">
        <f t="shared" si="44"/>
        <v>Split Case Fee Override Flag</v>
      </c>
      <c r="J479" s="1480" t="str">
        <f t="shared" si="46"/>
        <v>F448</v>
      </c>
      <c r="K479" s="1480" t="str">
        <f t="shared" si="45"/>
        <v>Pricing Schedule</v>
      </c>
      <c r="L479" s="907" t="s">
        <v>1297</v>
      </c>
      <c r="M479" s="1480">
        <v>448</v>
      </c>
      <c r="N479" s="1480"/>
      <c r="O479" s="1477"/>
      <c r="P479" s="1477"/>
      <c r="Q479" s="1477"/>
      <c r="R479" s="1477"/>
      <c r="S479" s="1477"/>
      <c r="T479" s="1477"/>
      <c r="U479" s="1477"/>
      <c r="V479" s="1477"/>
      <c r="W479" s="1477"/>
      <c r="X479" s="1477"/>
      <c r="Y479" s="1477"/>
      <c r="Z479" s="1477"/>
    </row>
    <row r="480" spans="1:26" hidden="1"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80"/>
      <c r="H480" s="1480"/>
      <c r="I480" s="1427" t="str">
        <f t="shared" si="44"/>
        <v>Split Case Fee</v>
      </c>
      <c r="J480" s="1480" t="str">
        <f t="shared" si="46"/>
        <v>F449</v>
      </c>
      <c r="K480" s="1480" t="str">
        <f t="shared" si="45"/>
        <v>Pricing Schedule</v>
      </c>
      <c r="L480" s="907" t="s">
        <v>1298</v>
      </c>
      <c r="M480" s="1480">
        <v>449</v>
      </c>
      <c r="N480" s="1480"/>
      <c r="O480" s="1477"/>
      <c r="P480" s="1477"/>
      <c r="Q480" s="1477"/>
      <c r="R480" s="1477"/>
      <c r="S480" s="1477"/>
      <c r="T480" s="1477"/>
      <c r="U480" s="1477"/>
      <c r="V480" s="1477"/>
      <c r="W480" s="1477"/>
      <c r="X480" s="1477"/>
      <c r="Y480" s="1477"/>
      <c r="Z480" s="1477"/>
    </row>
    <row r="481" spans="1:26" hidden="1"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80"/>
      <c r="H481" s="1480"/>
      <c r="I481" s="1427" t="str">
        <f t="shared" si="44"/>
        <v>Split Case Per</v>
      </c>
      <c r="J481" s="1480" t="str">
        <f t="shared" si="46"/>
        <v>F450</v>
      </c>
      <c r="K481" s="1480" t="str">
        <f t="shared" si="45"/>
        <v>Pricing Schedule</v>
      </c>
      <c r="L481" s="907" t="s">
        <v>1238</v>
      </c>
      <c r="M481" s="1480">
        <v>450</v>
      </c>
      <c r="N481" s="1480"/>
      <c r="O481" s="1477"/>
      <c r="P481" s="1477"/>
      <c r="Q481" s="1477"/>
      <c r="R481" s="1477"/>
      <c r="S481" s="1477"/>
      <c r="T481" s="1477"/>
      <c r="U481" s="1477"/>
      <c r="V481" s="1477"/>
      <c r="W481" s="1477"/>
      <c r="X481" s="1477"/>
      <c r="Y481" s="1477"/>
      <c r="Z481" s="1477"/>
    </row>
    <row r="482" spans="1:26" hidden="1"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80"/>
      <c r="G482" s="1480"/>
      <c r="H482" s="1480"/>
      <c r="I482" s="1427" t="str">
        <f t="shared" si="44"/>
        <v/>
      </c>
      <c r="J482" s="1480"/>
      <c r="K482" s="1480" t="str">
        <f t="shared" si="45"/>
        <v/>
      </c>
      <c r="L482" s="907" t="s">
        <v>1299</v>
      </c>
      <c r="M482" s="1480">
        <v>451</v>
      </c>
      <c r="N482" s="1480"/>
      <c r="O482" s="1477"/>
      <c r="P482" s="1477"/>
      <c r="Q482" s="1477"/>
      <c r="R482" s="1477"/>
      <c r="S482" s="1477"/>
      <c r="T482" s="1477"/>
      <c r="U482" s="1477"/>
      <c r="V482" s="1477"/>
      <c r="W482" s="1477"/>
      <c r="X482" s="1477"/>
      <c r="Y482" s="1477"/>
      <c r="Z482" s="1477"/>
    </row>
    <row r="483" spans="1:26" hidden="1"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80"/>
      <c r="G483" s="1480"/>
      <c r="H483" s="1480"/>
      <c r="I483" s="1427" t="str">
        <f t="shared" si="44"/>
        <v/>
      </c>
      <c r="J483" s="1480"/>
      <c r="K483" s="1480" t="str">
        <f t="shared" si="45"/>
        <v/>
      </c>
      <c r="L483" s="907" t="s">
        <v>253</v>
      </c>
      <c r="M483" s="1480">
        <v>452</v>
      </c>
      <c r="N483" s="1480"/>
      <c r="O483" s="1477"/>
      <c r="P483" s="1477"/>
      <c r="Q483" s="1477"/>
      <c r="R483" s="1477"/>
      <c r="S483" s="1477"/>
      <c r="T483" s="1477"/>
      <c r="U483" s="1477"/>
      <c r="V483" s="1477"/>
      <c r="W483" s="1477"/>
      <c r="X483" s="1477"/>
      <c r="Y483" s="1477"/>
      <c r="Z483" s="1477"/>
    </row>
    <row r="484" spans="1:26" hidden="1"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80"/>
      <c r="G484" s="1480"/>
      <c r="H484" s="1480"/>
      <c r="I484" s="1427" t="str">
        <f t="shared" si="44"/>
        <v/>
      </c>
      <c r="J484" s="1480"/>
      <c r="K484" s="1480" t="str">
        <f t="shared" si="45"/>
        <v/>
      </c>
      <c r="L484" s="907" t="s">
        <v>1256</v>
      </c>
      <c r="M484" s="1480">
        <v>453</v>
      </c>
      <c r="N484" s="1480"/>
      <c r="O484" s="1477"/>
      <c r="P484" s="1477"/>
      <c r="Q484" s="1477"/>
      <c r="R484" s="1477"/>
      <c r="S484" s="1477"/>
      <c r="T484" s="1477"/>
      <c r="U484" s="1477"/>
      <c r="V484" s="1477"/>
      <c r="W484" s="1477"/>
      <c r="X484" s="1477"/>
      <c r="Y484" s="1477"/>
      <c r="Z484" s="1477"/>
    </row>
    <row r="485" spans="1:26" hidden="1"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80"/>
      <c r="G485" s="1480"/>
      <c r="H485" s="1480"/>
      <c r="I485" s="1427" t="str">
        <f t="shared" si="44"/>
        <v/>
      </c>
      <c r="J485" s="1480"/>
      <c r="K485" s="1480" t="str">
        <f t="shared" si="45"/>
        <v/>
      </c>
      <c r="L485" s="907" t="s">
        <v>225</v>
      </c>
      <c r="M485" s="1480">
        <v>454</v>
      </c>
      <c r="N485" s="1480"/>
      <c r="O485" s="1477"/>
      <c r="P485" s="1477"/>
      <c r="Q485" s="1477"/>
      <c r="R485" s="1477"/>
      <c r="S485" s="1477"/>
      <c r="T485" s="1477"/>
      <c r="U485" s="1477"/>
      <c r="V485" s="1477"/>
      <c r="W485" s="1477"/>
      <c r="X485" s="1477"/>
      <c r="Y485" s="1477"/>
      <c r="Z485" s="1477"/>
    </row>
    <row r="486" spans="1:26" hidden="1" x14ac:dyDescent="0.25">
      <c r="A486" s="933" t="s">
        <v>465</v>
      </c>
      <c r="B486" s="1427" t="str">
        <f ca="1">_xlfn.CONCAT(IFERROR(SUBSTITUTE(ADDRESS(1,MATCH(A486,INDIRECT("'"&amp;E486&amp;"'"&amp;"!A9:Z9"),0),4),1,""),""),27)</f>
        <v>E27</v>
      </c>
      <c r="C486" s="1427" t="str">
        <f ca="1">_xlfn.CONCAT(IFERROR(SUBSTITUTE(ADDRESS(1,MATCH(A486,INDIRECT("'"&amp;E486&amp;"'"&amp;"!A9:Z9"),0),4),1,""),""))</f>
        <v>E</v>
      </c>
      <c r="D486" s="1480" t="s">
        <v>1372</v>
      </c>
      <c r="E486" s="867" t="s">
        <v>208</v>
      </c>
      <c r="F486" s="1480"/>
      <c r="G486" s="1480"/>
      <c r="H486" s="1480"/>
      <c r="I486" s="1427" t="str">
        <f t="shared" si="44"/>
        <v>Exclude PIM Classes Below</v>
      </c>
      <c r="J486" s="1480" t="str">
        <f t="shared" si="46"/>
        <v>F455</v>
      </c>
      <c r="K486" s="1480" t="str">
        <f t="shared" si="45"/>
        <v>PIM Model</v>
      </c>
      <c r="L486" s="907" t="s">
        <v>465</v>
      </c>
      <c r="M486" s="1480">
        <v>455</v>
      </c>
      <c r="N486" s="1480"/>
      <c r="O486" s="1477"/>
      <c r="P486" s="1477"/>
      <c r="Q486" s="1477"/>
      <c r="R486" s="1477"/>
      <c r="S486" s="1477"/>
      <c r="T486" s="1477"/>
      <c r="U486" s="1477"/>
      <c r="V486" s="1477"/>
      <c r="W486" s="1477"/>
      <c r="X486" s="1477"/>
      <c r="Y486" s="1477"/>
      <c r="Z486" s="1477"/>
    </row>
    <row r="487" spans="1:26" hidden="1"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80"/>
      <c r="G487" s="1480"/>
      <c r="H487" s="1480"/>
      <c r="I487" s="1427" t="str">
        <f t="shared" si="44"/>
        <v>Special Pricing Code</v>
      </c>
      <c r="J487" s="1480" t="str">
        <f t="shared" si="46"/>
        <v>F456</v>
      </c>
      <c r="K487" s="1480" t="str">
        <f t="shared" si="45"/>
        <v>Pricing Schedule</v>
      </c>
      <c r="L487" s="907" t="s">
        <v>1292</v>
      </c>
      <c r="M487" s="1480">
        <v>456</v>
      </c>
      <c r="N487" s="1480"/>
      <c r="O487" s="1477"/>
      <c r="P487" s="1477"/>
      <c r="Q487" s="1477"/>
      <c r="R487" s="1477"/>
      <c r="S487" s="1477"/>
      <c r="T487" s="1477"/>
      <c r="U487" s="1477"/>
      <c r="V487" s="1477"/>
      <c r="W487" s="1477"/>
      <c r="X487" s="1477"/>
      <c r="Y487" s="1477"/>
      <c r="Z487" s="1477"/>
    </row>
    <row r="488" spans="1:26" hidden="1"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80"/>
      <c r="H488" s="1480"/>
      <c r="I488" s="1427" t="str">
        <f t="shared" si="44"/>
        <v>EB Markup Amt</v>
      </c>
      <c r="J488" s="1480" t="str">
        <f t="shared" si="46"/>
        <v>F457</v>
      </c>
      <c r="K488" s="1480" t="str">
        <f t="shared" si="45"/>
        <v>Pricing Schedule</v>
      </c>
      <c r="L488" s="907" t="s">
        <v>1294</v>
      </c>
      <c r="M488" s="1480">
        <v>457</v>
      </c>
      <c r="N488" s="1480"/>
      <c r="O488" s="1477"/>
      <c r="P488" s="1477"/>
      <c r="Q488" s="1477"/>
      <c r="R488" s="1477"/>
      <c r="S488" s="1477"/>
      <c r="T488" s="1477"/>
      <c r="U488" s="1477"/>
      <c r="V488" s="1477"/>
      <c r="W488" s="1477"/>
      <c r="X488" s="1477"/>
      <c r="Y488" s="1477"/>
      <c r="Z488" s="1477"/>
    </row>
    <row r="489" spans="1:26" hidden="1"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80"/>
      <c r="H489" s="1480"/>
      <c r="I489" s="1427" t="str">
        <f t="shared" si="44"/>
        <v>Min CS Markup Override Flag</v>
      </c>
      <c r="J489" s="1480" t="str">
        <f t="shared" si="46"/>
        <v>F458</v>
      </c>
      <c r="K489" s="1480" t="str">
        <f t="shared" si="45"/>
        <v>Pricing Schedule</v>
      </c>
      <c r="L489" s="907" t="s">
        <v>1295</v>
      </c>
      <c r="M489" s="1480">
        <v>458</v>
      </c>
      <c r="N489" s="1480"/>
      <c r="O489" s="1477"/>
      <c r="P489" s="1477"/>
      <c r="Q489" s="1477"/>
      <c r="R489" s="1477"/>
      <c r="S489" s="1477"/>
      <c r="T489" s="1477"/>
      <c r="U489" s="1477"/>
      <c r="V489" s="1477"/>
      <c r="W489" s="1477"/>
      <c r="X489" s="1477"/>
      <c r="Y489" s="1477"/>
      <c r="Z489" s="1477"/>
    </row>
    <row r="490" spans="1:26" hidden="1"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80"/>
      <c r="H490" s="1480"/>
      <c r="I490" s="1427" t="str">
        <f t="shared" si="44"/>
        <v>Min CS Markup Amt</v>
      </c>
      <c r="J490" s="1480" t="str">
        <f t="shared" si="46"/>
        <v>F459</v>
      </c>
      <c r="K490" s="1480" t="str">
        <f t="shared" si="45"/>
        <v>Pricing Schedule</v>
      </c>
      <c r="L490" s="907" t="s">
        <v>1296</v>
      </c>
      <c r="M490" s="1480">
        <v>459</v>
      </c>
      <c r="N490" s="1480"/>
      <c r="O490" s="1477"/>
      <c r="P490" s="1477"/>
      <c r="Q490" s="1477"/>
      <c r="R490" s="1477"/>
      <c r="S490" s="1477"/>
      <c r="T490" s="1477"/>
      <c r="U490" s="1477"/>
      <c r="V490" s="1477"/>
      <c r="W490" s="1477"/>
      <c r="X490" s="1477"/>
      <c r="Y490" s="1477"/>
      <c r="Z490" s="1477"/>
    </row>
    <row r="491" spans="1:26" hidden="1"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80"/>
      <c r="H491" s="1480"/>
      <c r="I491" s="1427" t="str">
        <f t="shared" si="44"/>
        <v>Split Case Fee Override Flag</v>
      </c>
      <c r="J491" s="1480" t="str">
        <f t="shared" si="46"/>
        <v>F460</v>
      </c>
      <c r="K491" s="1480" t="str">
        <f t="shared" si="45"/>
        <v>Pricing Schedule</v>
      </c>
      <c r="L491" s="907" t="s">
        <v>1297</v>
      </c>
      <c r="M491" s="1480">
        <v>460</v>
      </c>
      <c r="N491" s="1480"/>
      <c r="O491" s="1477"/>
      <c r="P491" s="1477"/>
      <c r="Q491" s="1477"/>
      <c r="R491" s="1477"/>
      <c r="S491" s="1477"/>
      <c r="T491" s="1477"/>
      <c r="U491" s="1477"/>
      <c r="V491" s="1477"/>
      <c r="W491" s="1477"/>
      <c r="X491" s="1477"/>
      <c r="Y491" s="1477"/>
      <c r="Z491" s="1477"/>
    </row>
    <row r="492" spans="1:26" hidden="1"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80"/>
      <c r="H492" s="1480"/>
      <c r="I492" s="1427" t="str">
        <f t="shared" si="44"/>
        <v>Split Case Fee</v>
      </c>
      <c r="J492" s="1480" t="str">
        <f t="shared" si="46"/>
        <v>F461</v>
      </c>
      <c r="K492" s="1480" t="str">
        <f t="shared" si="45"/>
        <v>Pricing Schedule</v>
      </c>
      <c r="L492" s="907" t="s">
        <v>1298</v>
      </c>
      <c r="M492" s="1480">
        <v>461</v>
      </c>
      <c r="N492" s="1480"/>
      <c r="O492" s="1477"/>
      <c r="P492" s="1477"/>
      <c r="Q492" s="1477"/>
      <c r="R492" s="1477"/>
      <c r="S492" s="1477"/>
      <c r="T492" s="1477"/>
      <c r="U492" s="1477"/>
      <c r="V492" s="1477"/>
      <c r="W492" s="1477"/>
      <c r="X492" s="1477"/>
      <c r="Y492" s="1477"/>
      <c r="Z492" s="1477"/>
    </row>
    <row r="493" spans="1:26" hidden="1"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80"/>
      <c r="H493" s="1480"/>
      <c r="I493" s="1427" t="str">
        <f t="shared" si="44"/>
        <v>Split Case Per</v>
      </c>
      <c r="J493" s="1480" t="str">
        <f t="shared" si="46"/>
        <v>F462</v>
      </c>
      <c r="K493" s="1480" t="str">
        <f t="shared" si="45"/>
        <v>Pricing Schedule</v>
      </c>
      <c r="L493" s="907" t="s">
        <v>1238</v>
      </c>
      <c r="M493" s="1480">
        <v>462</v>
      </c>
      <c r="N493" s="1480"/>
      <c r="O493" s="1477"/>
      <c r="P493" s="1477"/>
      <c r="Q493" s="1477"/>
      <c r="R493" s="1477"/>
      <c r="S493" s="1477"/>
      <c r="T493" s="1477"/>
      <c r="U493" s="1477"/>
      <c r="V493" s="1477"/>
      <c r="W493" s="1477"/>
      <c r="X493" s="1477"/>
      <c r="Y493" s="1477"/>
      <c r="Z493" s="1477"/>
    </row>
    <row r="494" spans="1:26" hidden="1"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80"/>
      <c r="G494" s="1480"/>
      <c r="H494" s="1480"/>
      <c r="I494" s="1427" t="str">
        <f t="shared" si="44"/>
        <v/>
      </c>
      <c r="J494" s="1480"/>
      <c r="K494" s="1480" t="str">
        <f t="shared" si="45"/>
        <v/>
      </c>
      <c r="L494" s="907" t="s">
        <v>1299</v>
      </c>
      <c r="M494" s="1480">
        <v>463</v>
      </c>
      <c r="N494" s="1480"/>
      <c r="O494" s="1477"/>
      <c r="P494" s="1477"/>
      <c r="Q494" s="1477"/>
      <c r="R494" s="1477"/>
      <c r="S494" s="1477"/>
      <c r="T494" s="1477"/>
      <c r="U494" s="1477"/>
      <c r="V494" s="1477"/>
      <c r="W494" s="1477"/>
      <c r="X494" s="1477"/>
      <c r="Y494" s="1477"/>
      <c r="Z494" s="1477"/>
    </row>
    <row r="495" spans="1:26" hidden="1"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80"/>
      <c r="G495" s="1480"/>
      <c r="H495" s="1480"/>
      <c r="I495" s="1427" t="str">
        <f t="shared" si="44"/>
        <v/>
      </c>
      <c r="J495" s="1480"/>
      <c r="K495" s="1480" t="str">
        <f t="shared" si="45"/>
        <v/>
      </c>
      <c r="L495" s="907" t="s">
        <v>253</v>
      </c>
      <c r="M495" s="1480">
        <v>464</v>
      </c>
      <c r="N495" s="1480"/>
      <c r="O495" s="1477"/>
      <c r="P495" s="1477"/>
      <c r="Q495" s="1477"/>
      <c r="R495" s="1477"/>
      <c r="S495" s="1477"/>
      <c r="T495" s="1477"/>
      <c r="U495" s="1477"/>
      <c r="V495" s="1477"/>
      <c r="W495" s="1477"/>
      <c r="X495" s="1477"/>
      <c r="Y495" s="1477"/>
      <c r="Z495" s="1477"/>
    </row>
    <row r="496" spans="1:26" hidden="1"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80"/>
      <c r="G496" s="1480"/>
      <c r="H496" s="1480"/>
      <c r="I496" s="1427" t="str">
        <f t="shared" si="44"/>
        <v/>
      </c>
      <c r="J496" s="1480"/>
      <c r="K496" s="1480" t="str">
        <f t="shared" si="45"/>
        <v/>
      </c>
      <c r="L496" s="907" t="s">
        <v>1256</v>
      </c>
      <c r="M496" s="1480">
        <v>465</v>
      </c>
      <c r="N496" s="1480"/>
      <c r="O496" s="1477"/>
      <c r="P496" s="1477"/>
      <c r="Q496" s="1477"/>
      <c r="R496" s="1477"/>
      <c r="S496" s="1477"/>
      <c r="T496" s="1477"/>
      <c r="U496" s="1477"/>
      <c r="V496" s="1477"/>
      <c r="W496" s="1477"/>
      <c r="X496" s="1477"/>
      <c r="Y496" s="1477"/>
      <c r="Z496" s="1477"/>
    </row>
    <row r="497" spans="1:26" hidden="1"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80"/>
      <c r="G497" s="1480"/>
      <c r="H497" s="1480"/>
      <c r="I497" s="1427" t="str">
        <f t="shared" si="44"/>
        <v/>
      </c>
      <c r="J497" s="1480"/>
      <c r="K497" s="1480" t="str">
        <f t="shared" si="45"/>
        <v/>
      </c>
      <c r="L497" s="907" t="s">
        <v>225</v>
      </c>
      <c r="M497" s="1480">
        <v>466</v>
      </c>
      <c r="N497" s="1480"/>
      <c r="O497" s="1477"/>
      <c r="P497" s="1477"/>
      <c r="Q497" s="1477"/>
      <c r="R497" s="1477"/>
      <c r="S497" s="1477"/>
      <c r="T497" s="1477"/>
      <c r="U497" s="1477"/>
      <c r="V497" s="1477"/>
      <c r="W497" s="1477"/>
      <c r="X497" s="1477"/>
      <c r="Y497" s="1477"/>
      <c r="Z497" s="1477"/>
    </row>
    <row r="498" spans="1:26" hidden="1" x14ac:dyDescent="0.25">
      <c r="A498" s="930" t="s">
        <v>465</v>
      </c>
      <c r="B498" s="1427" t="str">
        <f ca="1">_xlfn.CONCAT(IFERROR(SUBSTITUTE(ADDRESS(1,MATCH(A498,INDIRECT("'"&amp;E498&amp;"'"&amp;"!A9:Z9"),0),4),1,""),""),28)</f>
        <v>E28</v>
      </c>
      <c r="C498" s="1427" t="str">
        <f ca="1">_xlfn.CONCAT(IFERROR(SUBSTITUTE(ADDRESS(1,MATCH(A498,INDIRECT("'"&amp;E498&amp;"'"&amp;"!A9:Z9"),0),4),1,""),""))</f>
        <v>E</v>
      </c>
      <c r="D498" s="1480" t="s">
        <v>1372</v>
      </c>
      <c r="E498" s="867" t="s">
        <v>208</v>
      </c>
      <c r="F498" s="1480"/>
      <c r="G498" s="1480"/>
      <c r="H498" s="1480"/>
      <c r="I498" s="1427" t="str">
        <f t="shared" si="44"/>
        <v>Exclude PIM Classes Below</v>
      </c>
      <c r="J498" s="1480" t="str">
        <f t="shared" si="46"/>
        <v>F467</v>
      </c>
      <c r="K498" s="1480" t="str">
        <f t="shared" si="45"/>
        <v>PIM Model</v>
      </c>
      <c r="L498" s="907" t="s">
        <v>465</v>
      </c>
      <c r="M498" s="1480">
        <v>467</v>
      </c>
      <c r="N498" s="1480"/>
      <c r="O498" s="1477"/>
      <c r="P498" s="1477"/>
      <c r="Q498" s="1477"/>
      <c r="R498" s="1477"/>
      <c r="S498" s="1477"/>
      <c r="T498" s="1477"/>
      <c r="U498" s="1477"/>
      <c r="V498" s="1477"/>
      <c r="W498" s="1477"/>
      <c r="X498" s="1477"/>
      <c r="Y498" s="1477"/>
      <c r="Z498" s="1477"/>
    </row>
    <row r="499" spans="1:26" hidden="1"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80"/>
      <c r="G499" s="1480"/>
      <c r="H499" s="1480"/>
      <c r="I499" s="1427" t="str">
        <f t="shared" si="44"/>
        <v>Special Pricing Code</v>
      </c>
      <c r="J499" s="1480" t="str">
        <f t="shared" si="46"/>
        <v>F468</v>
      </c>
      <c r="K499" s="1480" t="str">
        <f t="shared" si="45"/>
        <v>Pricing Schedule</v>
      </c>
      <c r="L499" s="907" t="s">
        <v>1292</v>
      </c>
      <c r="M499" s="1480">
        <v>468</v>
      </c>
      <c r="N499" s="1480"/>
      <c r="O499" s="1477"/>
      <c r="P499" s="1477"/>
      <c r="Q499" s="1477"/>
      <c r="R499" s="1477"/>
      <c r="S499" s="1477"/>
      <c r="T499" s="1477"/>
      <c r="U499" s="1477"/>
      <c r="V499" s="1477"/>
      <c r="W499" s="1477"/>
      <c r="X499" s="1477"/>
      <c r="Y499" s="1477"/>
      <c r="Z499" s="1477"/>
    </row>
    <row r="500" spans="1:26" hidden="1"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80"/>
      <c r="H500" s="1480"/>
      <c r="I500" s="1427" t="str">
        <f t="shared" si="44"/>
        <v>EB Markup Amt</v>
      </c>
      <c r="J500" s="1480" t="str">
        <f t="shared" si="46"/>
        <v>F469</v>
      </c>
      <c r="K500" s="1480" t="str">
        <f t="shared" si="45"/>
        <v>Pricing Schedule</v>
      </c>
      <c r="L500" s="907" t="s">
        <v>1294</v>
      </c>
      <c r="M500" s="1480">
        <v>469</v>
      </c>
      <c r="N500" s="1480"/>
      <c r="O500" s="1477"/>
      <c r="P500" s="1477"/>
      <c r="Q500" s="1477"/>
      <c r="R500" s="1477"/>
      <c r="S500" s="1477"/>
      <c r="T500" s="1477"/>
      <c r="U500" s="1477"/>
      <c r="V500" s="1477"/>
      <c r="W500" s="1477"/>
      <c r="X500" s="1477"/>
      <c r="Y500" s="1477"/>
      <c r="Z500" s="1477"/>
    </row>
    <row r="501" spans="1:26" hidden="1"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80"/>
      <c r="H501" s="1480"/>
      <c r="I501" s="1427" t="str">
        <f t="shared" si="44"/>
        <v>Min CS Markup Override Flag</v>
      </c>
      <c r="J501" s="1480" t="str">
        <f t="shared" si="46"/>
        <v>F470</v>
      </c>
      <c r="K501" s="1480" t="str">
        <f t="shared" si="45"/>
        <v>Pricing Schedule</v>
      </c>
      <c r="L501" s="907" t="s">
        <v>1295</v>
      </c>
      <c r="M501" s="1480">
        <v>470</v>
      </c>
      <c r="N501" s="1480"/>
      <c r="O501" s="1477"/>
      <c r="P501" s="1477"/>
      <c r="Q501" s="1477"/>
      <c r="R501" s="1477"/>
      <c r="S501" s="1477"/>
      <c r="T501" s="1477"/>
      <c r="U501" s="1477"/>
      <c r="V501" s="1477"/>
      <c r="W501" s="1477"/>
      <c r="X501" s="1477"/>
      <c r="Y501" s="1477"/>
      <c r="Z501" s="1477"/>
    </row>
    <row r="502" spans="1:26" hidden="1"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80"/>
      <c r="H502" s="1480"/>
      <c r="I502" s="1427" t="str">
        <f t="shared" si="44"/>
        <v>Min CS Markup Amt</v>
      </c>
      <c r="J502" s="1480" t="str">
        <f t="shared" si="46"/>
        <v>F471</v>
      </c>
      <c r="K502" s="1480" t="str">
        <f t="shared" si="45"/>
        <v>Pricing Schedule</v>
      </c>
      <c r="L502" s="907" t="s">
        <v>1296</v>
      </c>
      <c r="M502" s="1480">
        <v>471</v>
      </c>
      <c r="N502" s="1480"/>
      <c r="O502" s="1477"/>
      <c r="P502" s="1477"/>
      <c r="Q502" s="1477"/>
      <c r="R502" s="1477"/>
      <c r="S502" s="1477"/>
      <c r="T502" s="1477"/>
      <c r="U502" s="1477"/>
      <c r="V502" s="1477"/>
      <c r="W502" s="1477"/>
      <c r="X502" s="1477"/>
      <c r="Y502" s="1477"/>
      <c r="Z502" s="1477"/>
    </row>
    <row r="503" spans="1:26" hidden="1"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80"/>
      <c r="H503" s="1480"/>
      <c r="I503" s="1427" t="str">
        <f t="shared" si="44"/>
        <v>Split Case Fee Override Flag</v>
      </c>
      <c r="J503" s="1480" t="str">
        <f t="shared" si="46"/>
        <v>F472</v>
      </c>
      <c r="K503" s="1480" t="str">
        <f t="shared" si="45"/>
        <v>Pricing Schedule</v>
      </c>
      <c r="L503" s="907" t="s">
        <v>1297</v>
      </c>
      <c r="M503" s="1480">
        <v>472</v>
      </c>
      <c r="N503" s="1480"/>
      <c r="O503" s="1477"/>
      <c r="P503" s="1477"/>
      <c r="Q503" s="1477"/>
      <c r="R503" s="1477"/>
      <c r="S503" s="1477"/>
      <c r="T503" s="1477"/>
      <c r="U503" s="1477"/>
      <c r="V503" s="1477"/>
      <c r="W503" s="1477"/>
      <c r="X503" s="1477"/>
      <c r="Y503" s="1477"/>
      <c r="Z503" s="1477"/>
    </row>
    <row r="504" spans="1:26" hidden="1"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80"/>
      <c r="H504" s="1480"/>
      <c r="I504" s="1427" t="str">
        <f t="shared" si="44"/>
        <v>Split Case Fee</v>
      </c>
      <c r="J504" s="1480" t="str">
        <f t="shared" si="46"/>
        <v>F473</v>
      </c>
      <c r="K504" s="1480" t="str">
        <f t="shared" si="45"/>
        <v>Pricing Schedule</v>
      </c>
      <c r="L504" s="907" t="s">
        <v>1298</v>
      </c>
      <c r="M504" s="1480">
        <v>473</v>
      </c>
      <c r="N504" s="1480"/>
      <c r="O504" s="1477"/>
      <c r="P504" s="1477"/>
      <c r="Q504" s="1477"/>
      <c r="R504" s="1477"/>
      <c r="S504" s="1477"/>
      <c r="T504" s="1477"/>
      <c r="U504" s="1477"/>
      <c r="V504" s="1477"/>
      <c r="W504" s="1477"/>
      <c r="X504" s="1477"/>
      <c r="Y504" s="1477"/>
      <c r="Z504" s="1477"/>
    </row>
    <row r="505" spans="1:26" hidden="1"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80"/>
      <c r="H505" s="1480"/>
      <c r="I505" s="1427" t="str">
        <f t="shared" si="44"/>
        <v>Split Case Per</v>
      </c>
      <c r="J505" s="1480" t="str">
        <f t="shared" si="46"/>
        <v>F474</v>
      </c>
      <c r="K505" s="1480" t="str">
        <f t="shared" si="45"/>
        <v>Pricing Schedule</v>
      </c>
      <c r="L505" s="907" t="s">
        <v>1238</v>
      </c>
      <c r="M505" s="1480">
        <v>474</v>
      </c>
      <c r="N505" s="1480"/>
      <c r="O505" s="1477"/>
      <c r="P505" s="1477"/>
      <c r="Q505" s="1477"/>
      <c r="R505" s="1477"/>
      <c r="S505" s="1477"/>
      <c r="T505" s="1477"/>
      <c r="U505" s="1477"/>
      <c r="V505" s="1477"/>
      <c r="W505" s="1477"/>
      <c r="X505" s="1477"/>
      <c r="Y505" s="1477"/>
      <c r="Z505" s="1477"/>
    </row>
    <row r="506" spans="1:26" hidden="1"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80"/>
      <c r="G506" s="1480"/>
      <c r="H506" s="1480"/>
      <c r="I506" s="1427" t="str">
        <f t="shared" si="44"/>
        <v/>
      </c>
      <c r="J506" s="1480"/>
      <c r="K506" s="1480" t="str">
        <f t="shared" si="45"/>
        <v/>
      </c>
      <c r="L506" s="907" t="s">
        <v>1299</v>
      </c>
      <c r="M506" s="1480">
        <v>475</v>
      </c>
      <c r="N506" s="1480"/>
      <c r="O506" s="1477"/>
      <c r="P506" s="1477"/>
      <c r="Q506" s="1477"/>
      <c r="R506" s="1477"/>
      <c r="S506" s="1477"/>
      <c r="T506" s="1477"/>
      <c r="U506" s="1477"/>
      <c r="V506" s="1477"/>
      <c r="W506" s="1477"/>
      <c r="X506" s="1477"/>
      <c r="Y506" s="1477"/>
      <c r="Z506" s="1477"/>
    </row>
    <row r="507" spans="1:26" hidden="1"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80"/>
      <c r="G507" s="1480"/>
      <c r="H507" s="1480"/>
      <c r="I507" s="1427" t="str">
        <f t="shared" si="44"/>
        <v/>
      </c>
      <c r="J507" s="1480"/>
      <c r="K507" s="1480" t="str">
        <f t="shared" si="45"/>
        <v/>
      </c>
      <c r="L507" s="907" t="s">
        <v>253</v>
      </c>
      <c r="M507" s="1480">
        <v>476</v>
      </c>
      <c r="N507" s="1480"/>
      <c r="O507" s="1477"/>
      <c r="P507" s="1477"/>
      <c r="Q507" s="1477"/>
      <c r="R507" s="1477"/>
      <c r="S507" s="1477"/>
      <c r="T507" s="1477"/>
      <c r="U507" s="1477"/>
      <c r="V507" s="1477"/>
      <c r="W507" s="1477"/>
      <c r="X507" s="1477"/>
      <c r="Y507" s="1477"/>
      <c r="Z507" s="1477"/>
    </row>
    <row r="508" spans="1:26" hidden="1"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80"/>
      <c r="G508" s="1480"/>
      <c r="H508" s="1480"/>
      <c r="I508" s="1427" t="str">
        <f t="shared" si="44"/>
        <v/>
      </c>
      <c r="J508" s="1480"/>
      <c r="K508" s="1480" t="str">
        <f t="shared" si="45"/>
        <v/>
      </c>
      <c r="L508" s="907" t="s">
        <v>1256</v>
      </c>
      <c r="M508" s="1480">
        <v>477</v>
      </c>
      <c r="N508" s="1480"/>
      <c r="O508" s="1477"/>
      <c r="P508" s="1477"/>
      <c r="Q508" s="1477"/>
      <c r="R508" s="1477"/>
      <c r="S508" s="1477"/>
      <c r="T508" s="1477"/>
      <c r="U508" s="1477"/>
      <c r="V508" s="1477"/>
      <c r="W508" s="1477"/>
      <c r="X508" s="1477"/>
      <c r="Y508" s="1477"/>
      <c r="Z508" s="1477"/>
    </row>
    <row r="509" spans="1:26" hidden="1"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80"/>
      <c r="G509" s="1480"/>
      <c r="H509" s="1480"/>
      <c r="I509" s="1427" t="str">
        <f t="shared" si="44"/>
        <v/>
      </c>
      <c r="J509" s="1480"/>
      <c r="K509" s="1480" t="str">
        <f t="shared" si="45"/>
        <v/>
      </c>
      <c r="L509" s="907" t="s">
        <v>225</v>
      </c>
      <c r="M509" s="1480">
        <v>478</v>
      </c>
      <c r="N509" s="1480"/>
      <c r="O509" s="1477"/>
      <c r="P509" s="1477"/>
      <c r="Q509" s="1477"/>
      <c r="R509" s="1477"/>
      <c r="S509" s="1477"/>
      <c r="T509" s="1477"/>
      <c r="U509" s="1477"/>
      <c r="V509" s="1477"/>
      <c r="W509" s="1477"/>
      <c r="X509" s="1477"/>
      <c r="Y509" s="1477"/>
      <c r="Z509" s="1477"/>
    </row>
    <row r="510" spans="1:26" hidden="1" x14ac:dyDescent="0.25">
      <c r="A510" s="933" t="s">
        <v>465</v>
      </c>
      <c r="B510" s="1427" t="str">
        <f ca="1">_xlfn.CONCAT(IFERROR(SUBSTITUTE(ADDRESS(1,MATCH(A510,INDIRECT("'"&amp;E510&amp;"'"&amp;"!A9:Z9"),0),4),1,""),""),29)</f>
        <v>E29</v>
      </c>
      <c r="C510" s="1427" t="str">
        <f ca="1">_xlfn.CONCAT(IFERROR(SUBSTITUTE(ADDRESS(1,MATCH(A510,INDIRECT("'"&amp;E510&amp;"'"&amp;"!A9:Z9"),0),4),1,""),""))</f>
        <v>E</v>
      </c>
      <c r="D510" s="1480" t="s">
        <v>1372</v>
      </c>
      <c r="E510" s="867" t="s">
        <v>208</v>
      </c>
      <c r="F510" s="1480"/>
      <c r="G510" s="1480"/>
      <c r="H510" s="1480"/>
      <c r="I510" s="1427" t="str">
        <f t="shared" si="44"/>
        <v>Exclude PIM Classes Below</v>
      </c>
      <c r="J510" s="1480" t="str">
        <f t="shared" si="46"/>
        <v>F479</v>
      </c>
      <c r="K510" s="1480" t="str">
        <f t="shared" si="45"/>
        <v>PIM Model</v>
      </c>
      <c r="L510" s="907" t="s">
        <v>465</v>
      </c>
      <c r="M510" s="1480">
        <v>479</v>
      </c>
      <c r="N510" s="1480"/>
      <c r="O510" s="1477"/>
      <c r="P510" s="1477"/>
      <c r="Q510" s="1477"/>
      <c r="R510" s="1477"/>
      <c r="S510" s="1477"/>
      <c r="T510" s="1477"/>
      <c r="U510" s="1477"/>
      <c r="V510" s="1477"/>
      <c r="W510" s="1477"/>
      <c r="X510" s="1477"/>
      <c r="Y510" s="1477"/>
      <c r="Z510" s="1477"/>
    </row>
    <row r="511" spans="1:26" hidden="1"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80"/>
      <c r="G511" s="1480"/>
      <c r="H511" s="1480"/>
      <c r="I511" s="1427" t="str">
        <f t="shared" si="44"/>
        <v>Special Pricing Code</v>
      </c>
      <c r="J511" s="1480" t="str">
        <f t="shared" si="46"/>
        <v>F480</v>
      </c>
      <c r="K511" s="1480" t="str">
        <f t="shared" si="45"/>
        <v>Pricing Schedule</v>
      </c>
      <c r="L511" s="907" t="s">
        <v>1292</v>
      </c>
      <c r="M511" s="1480">
        <v>480</v>
      </c>
      <c r="N511" s="1480"/>
      <c r="O511" s="1477"/>
      <c r="P511" s="1477"/>
      <c r="Q511" s="1477"/>
      <c r="R511" s="1477"/>
      <c r="S511" s="1477"/>
      <c r="T511" s="1477"/>
      <c r="U511" s="1477"/>
      <c r="V511" s="1477"/>
      <c r="W511" s="1477"/>
      <c r="X511" s="1477"/>
      <c r="Y511" s="1477"/>
      <c r="Z511" s="1477"/>
    </row>
    <row r="512" spans="1:26" hidden="1"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80"/>
      <c r="H512" s="1480"/>
      <c r="I512" s="1427" t="str">
        <f t="shared" si="44"/>
        <v>EB Markup Amt</v>
      </c>
      <c r="J512" s="1480" t="str">
        <f t="shared" si="46"/>
        <v>F481</v>
      </c>
      <c r="K512" s="1480" t="str">
        <f t="shared" si="45"/>
        <v>Pricing Schedule</v>
      </c>
      <c r="L512" s="907" t="s">
        <v>1294</v>
      </c>
      <c r="M512" s="1480">
        <v>481</v>
      </c>
      <c r="N512" s="1480"/>
      <c r="O512" s="1477"/>
      <c r="P512" s="1477"/>
      <c r="Q512" s="1477"/>
      <c r="R512" s="1477"/>
      <c r="S512" s="1477"/>
      <c r="T512" s="1477"/>
      <c r="U512" s="1477"/>
      <c r="V512" s="1477"/>
      <c r="W512" s="1477"/>
      <c r="X512" s="1477"/>
      <c r="Y512" s="1477"/>
      <c r="Z512" s="1477"/>
    </row>
    <row r="513" spans="1:26" hidden="1"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80"/>
      <c r="H513" s="1480"/>
      <c r="I513" s="1427" t="str">
        <f t="shared" si="44"/>
        <v>Min CS Markup Override Flag</v>
      </c>
      <c r="J513" s="1480" t="str">
        <f t="shared" si="46"/>
        <v>F482</v>
      </c>
      <c r="K513" s="1480" t="str">
        <f t="shared" si="45"/>
        <v>Pricing Schedule</v>
      </c>
      <c r="L513" s="907" t="s">
        <v>1295</v>
      </c>
      <c r="M513" s="1480">
        <v>482</v>
      </c>
      <c r="N513" s="1480"/>
      <c r="O513" s="1477"/>
      <c r="P513" s="1477"/>
      <c r="Q513" s="1477"/>
      <c r="R513" s="1477"/>
      <c r="S513" s="1477"/>
      <c r="T513" s="1477"/>
      <c r="U513" s="1477"/>
      <c r="V513" s="1477"/>
      <c r="W513" s="1477"/>
      <c r="X513" s="1477"/>
      <c r="Y513" s="1477"/>
      <c r="Z513" s="1477"/>
    </row>
    <row r="514" spans="1:26" hidden="1"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80"/>
      <c r="H514" s="1480"/>
      <c r="I514" s="1427" t="str">
        <f t="shared" si="44"/>
        <v>Min CS Markup Amt</v>
      </c>
      <c r="J514" s="1480" t="str">
        <f t="shared" si="46"/>
        <v>F483</v>
      </c>
      <c r="K514" s="1480" t="str">
        <f t="shared" si="45"/>
        <v>Pricing Schedule</v>
      </c>
      <c r="L514" s="907" t="s">
        <v>1296</v>
      </c>
      <c r="M514" s="1480">
        <v>483</v>
      </c>
      <c r="N514" s="1480"/>
      <c r="O514" s="1477"/>
      <c r="P514" s="1477"/>
      <c r="Q514" s="1477"/>
      <c r="R514" s="1477"/>
      <c r="S514" s="1477"/>
      <c r="T514" s="1477"/>
      <c r="U514" s="1477"/>
      <c r="V514" s="1477"/>
      <c r="W514" s="1477"/>
      <c r="X514" s="1477"/>
      <c r="Y514" s="1477"/>
      <c r="Z514" s="1477"/>
    </row>
    <row r="515" spans="1:26" hidden="1"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80"/>
      <c r="H515" s="1480"/>
      <c r="I515" s="1427" t="str">
        <f t="shared" si="44"/>
        <v>Split Case Fee Override Flag</v>
      </c>
      <c r="J515" s="1480" t="str">
        <f t="shared" si="46"/>
        <v>F484</v>
      </c>
      <c r="K515" s="1480" t="str">
        <f t="shared" si="45"/>
        <v>Pricing Schedule</v>
      </c>
      <c r="L515" s="907" t="s">
        <v>1297</v>
      </c>
      <c r="M515" s="1480">
        <v>484</v>
      </c>
      <c r="N515" s="1480"/>
      <c r="O515" s="1477"/>
      <c r="P515" s="1477"/>
      <c r="Q515" s="1477"/>
      <c r="R515" s="1477"/>
      <c r="S515" s="1477"/>
      <c r="T515" s="1477"/>
      <c r="U515" s="1477"/>
      <c r="V515" s="1477"/>
      <c r="W515" s="1477"/>
      <c r="X515" s="1477"/>
      <c r="Y515" s="1477"/>
      <c r="Z515" s="1477"/>
    </row>
    <row r="516" spans="1:26" hidden="1"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80"/>
      <c r="H516" s="1480"/>
      <c r="I516" s="1427" t="str">
        <f t="shared" ref="I516:I579" si="47">IF(J516&lt;&gt;"",A516,"")</f>
        <v>Split Case Fee</v>
      </c>
      <c r="J516" s="1480" t="str">
        <f t="shared" si="46"/>
        <v>F485</v>
      </c>
      <c r="K516" s="1480" t="str">
        <f t="shared" ref="K516:K579" si="48">IF(J516&lt;&gt;"",E516,"")</f>
        <v>Pricing Schedule</v>
      </c>
      <c r="L516" s="907" t="s">
        <v>1298</v>
      </c>
      <c r="M516" s="1480">
        <v>485</v>
      </c>
      <c r="N516" s="1480"/>
      <c r="O516" s="1477"/>
      <c r="P516" s="1477"/>
      <c r="Q516" s="1477"/>
      <c r="R516" s="1477"/>
      <c r="S516" s="1477"/>
      <c r="T516" s="1477"/>
      <c r="U516" s="1477"/>
      <c r="V516" s="1477"/>
      <c r="W516" s="1477"/>
      <c r="X516" s="1477"/>
      <c r="Y516" s="1477"/>
      <c r="Z516" s="1477"/>
    </row>
    <row r="517" spans="1:26" hidden="1"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80"/>
      <c r="H517" s="1480"/>
      <c r="I517" s="1427" t="str">
        <f t="shared" si="47"/>
        <v>Split Case Per</v>
      </c>
      <c r="J517" s="1480" t="str">
        <f t="shared" si="46"/>
        <v>F486</v>
      </c>
      <c r="K517" s="1480" t="str">
        <f t="shared" si="48"/>
        <v>Pricing Schedule</v>
      </c>
      <c r="L517" s="907" t="s">
        <v>1238</v>
      </c>
      <c r="M517" s="1480">
        <v>486</v>
      </c>
      <c r="N517" s="1480"/>
      <c r="O517" s="1477"/>
      <c r="P517" s="1477"/>
      <c r="Q517" s="1477"/>
      <c r="R517" s="1477"/>
      <c r="S517" s="1477"/>
      <c r="T517" s="1477"/>
      <c r="U517" s="1477"/>
      <c r="V517" s="1477"/>
      <c r="W517" s="1477"/>
      <c r="X517" s="1477"/>
      <c r="Y517" s="1477"/>
      <c r="Z517" s="1477"/>
    </row>
    <row r="518" spans="1:26" hidden="1"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80"/>
      <c r="G518" s="1480"/>
      <c r="H518" s="1480"/>
      <c r="I518" s="1427" t="str">
        <f t="shared" si="47"/>
        <v/>
      </c>
      <c r="J518" s="1480"/>
      <c r="K518" s="1480" t="str">
        <f t="shared" si="48"/>
        <v/>
      </c>
      <c r="L518" s="907" t="s">
        <v>1299</v>
      </c>
      <c r="M518" s="1480">
        <v>487</v>
      </c>
      <c r="N518" s="1480"/>
      <c r="O518" s="1477"/>
      <c r="P518" s="1477"/>
      <c r="Q518" s="1477"/>
      <c r="R518" s="1477"/>
      <c r="S518" s="1477"/>
      <c r="T518" s="1477"/>
      <c r="U518" s="1477"/>
      <c r="V518" s="1477"/>
      <c r="W518" s="1477"/>
      <c r="X518" s="1477"/>
      <c r="Y518" s="1477"/>
      <c r="Z518" s="1477"/>
    </row>
    <row r="519" spans="1:26" hidden="1"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80"/>
      <c r="G519" s="1480"/>
      <c r="H519" s="1480"/>
      <c r="I519" s="1427" t="str">
        <f t="shared" si="47"/>
        <v/>
      </c>
      <c r="J519" s="1480"/>
      <c r="K519" s="1480" t="str">
        <f t="shared" si="48"/>
        <v/>
      </c>
      <c r="L519" s="907" t="s">
        <v>253</v>
      </c>
      <c r="M519" s="1480">
        <v>488</v>
      </c>
      <c r="N519" s="1480"/>
      <c r="O519" s="1477"/>
      <c r="P519" s="1477"/>
      <c r="Q519" s="1477"/>
      <c r="R519" s="1477"/>
      <c r="S519" s="1477"/>
      <c r="T519" s="1477"/>
      <c r="U519" s="1477"/>
      <c r="V519" s="1477"/>
      <c r="W519" s="1477"/>
      <c r="X519" s="1477"/>
      <c r="Y519" s="1477"/>
      <c r="Z519" s="1477"/>
    </row>
    <row r="520" spans="1:26" hidden="1"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80"/>
      <c r="G520" s="1480"/>
      <c r="H520" s="1480"/>
      <c r="I520" s="1427" t="str">
        <f t="shared" si="47"/>
        <v/>
      </c>
      <c r="J520" s="1480"/>
      <c r="K520" s="1480" t="str">
        <f t="shared" si="48"/>
        <v/>
      </c>
      <c r="L520" s="907" t="s">
        <v>1256</v>
      </c>
      <c r="M520" s="1480">
        <v>489</v>
      </c>
      <c r="N520" s="1480"/>
      <c r="O520" s="1477"/>
      <c r="P520" s="1477"/>
      <c r="Q520" s="1477"/>
      <c r="R520" s="1477"/>
      <c r="S520" s="1477"/>
      <c r="T520" s="1477"/>
      <c r="U520" s="1477"/>
      <c r="V520" s="1477"/>
      <c r="W520" s="1477"/>
      <c r="X520" s="1477"/>
      <c r="Y520" s="1477"/>
      <c r="Z520" s="1477"/>
    </row>
    <row r="521" spans="1:26" hidden="1"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80"/>
      <c r="G521" s="1480"/>
      <c r="H521" s="1480"/>
      <c r="I521" s="1427" t="str">
        <f t="shared" si="47"/>
        <v/>
      </c>
      <c r="J521" s="1480"/>
      <c r="K521" s="1480" t="str">
        <f t="shared" si="48"/>
        <v/>
      </c>
      <c r="L521" s="907" t="s">
        <v>225</v>
      </c>
      <c r="M521" s="1480">
        <v>490</v>
      </c>
      <c r="N521" s="1480"/>
      <c r="O521" s="1477"/>
      <c r="P521" s="1477"/>
      <c r="Q521" s="1477"/>
      <c r="R521" s="1477"/>
      <c r="S521" s="1477"/>
      <c r="T521" s="1477"/>
      <c r="U521" s="1477"/>
      <c r="V521" s="1477"/>
      <c r="W521" s="1477"/>
      <c r="X521" s="1477"/>
      <c r="Y521" s="1477"/>
      <c r="Z521" s="1477"/>
    </row>
    <row r="522" spans="1:26" hidden="1" x14ac:dyDescent="0.25">
      <c r="A522" s="930" t="s">
        <v>465</v>
      </c>
      <c r="B522" s="1427" t="str">
        <f ca="1">_xlfn.CONCAT(IFERROR(SUBSTITUTE(ADDRESS(1,MATCH(A522,INDIRECT("'"&amp;E522&amp;"'"&amp;"!A9:Z9"),0),4),1,""),""),30)</f>
        <v>E30</v>
      </c>
      <c r="C522" s="1427" t="str">
        <f ca="1">_xlfn.CONCAT(IFERROR(SUBSTITUTE(ADDRESS(1,MATCH(A522,INDIRECT("'"&amp;E522&amp;"'"&amp;"!A9:Z9"),0),4),1,""),""))</f>
        <v>E</v>
      </c>
      <c r="D522" s="1480" t="s">
        <v>1372</v>
      </c>
      <c r="E522" s="867" t="s">
        <v>208</v>
      </c>
      <c r="F522" s="1480"/>
      <c r="G522" s="1480"/>
      <c r="H522" s="1480"/>
      <c r="I522" s="1427" t="str">
        <f t="shared" si="47"/>
        <v>Exclude PIM Classes Below</v>
      </c>
      <c r="J522" s="1480" t="str">
        <f t="shared" ref="J522:J538" si="49">IF(M522&lt;&gt;"",Q$1&amp;M522,"")</f>
        <v>F491</v>
      </c>
      <c r="K522" s="1480" t="str">
        <f t="shared" si="48"/>
        <v>PIM Model</v>
      </c>
      <c r="L522" s="907" t="s">
        <v>465</v>
      </c>
      <c r="M522" s="1480">
        <v>491</v>
      </c>
      <c r="N522" s="1480"/>
      <c r="O522" s="1477"/>
      <c r="P522" s="1477"/>
      <c r="Q522" s="1477"/>
      <c r="R522" s="1477"/>
      <c r="S522" s="1477"/>
      <c r="T522" s="1477"/>
      <c r="U522" s="1477"/>
      <c r="V522" s="1477"/>
      <c r="W522" s="1477"/>
      <c r="X522" s="1477"/>
      <c r="Y522" s="1477"/>
      <c r="Z522" s="1477"/>
    </row>
    <row r="523" spans="1:26" hidden="1"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80"/>
      <c r="G523" s="1480"/>
      <c r="H523" s="1480"/>
      <c r="I523" s="1427" t="str">
        <f t="shared" si="47"/>
        <v>Special Pricing Code</v>
      </c>
      <c r="J523" s="1480" t="str">
        <f t="shared" si="49"/>
        <v>F492</v>
      </c>
      <c r="K523" s="1480" t="str">
        <f t="shared" si="48"/>
        <v>Pricing Schedule</v>
      </c>
      <c r="L523" s="907" t="s">
        <v>1292</v>
      </c>
      <c r="M523" s="1480">
        <v>492</v>
      </c>
      <c r="N523" s="1480"/>
      <c r="O523" s="1477"/>
      <c r="P523" s="1477"/>
      <c r="Q523" s="1477"/>
      <c r="R523" s="1477"/>
      <c r="S523" s="1477"/>
      <c r="T523" s="1477"/>
      <c r="U523" s="1477"/>
      <c r="V523" s="1477"/>
      <c r="W523" s="1477"/>
      <c r="X523" s="1477"/>
      <c r="Y523" s="1477"/>
      <c r="Z523" s="1477"/>
    </row>
    <row r="524" spans="1:26" hidden="1"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80"/>
      <c r="H524" s="1480"/>
      <c r="I524" s="1427" t="str">
        <f t="shared" si="47"/>
        <v>EB Markup Amt</v>
      </c>
      <c r="J524" s="1480" t="str">
        <f t="shared" si="49"/>
        <v>F493</v>
      </c>
      <c r="K524" s="1480" t="str">
        <f t="shared" si="48"/>
        <v>Pricing Schedule</v>
      </c>
      <c r="L524" s="907" t="s">
        <v>1294</v>
      </c>
      <c r="M524" s="1480">
        <v>493</v>
      </c>
      <c r="N524" s="1480"/>
      <c r="O524" s="1477"/>
      <c r="P524" s="1477"/>
      <c r="Q524" s="1477"/>
      <c r="R524" s="1477"/>
      <c r="S524" s="1477"/>
      <c r="T524" s="1477"/>
      <c r="U524" s="1477"/>
      <c r="V524" s="1477"/>
      <c r="W524" s="1477"/>
      <c r="X524" s="1477"/>
      <c r="Y524" s="1477"/>
      <c r="Z524" s="1477"/>
    </row>
    <row r="525" spans="1:26" hidden="1"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80"/>
      <c r="H525" s="1480"/>
      <c r="I525" s="1427" t="str">
        <f t="shared" si="47"/>
        <v>Min CS Markup Override Flag</v>
      </c>
      <c r="J525" s="1480" t="str">
        <f t="shared" si="49"/>
        <v>F494</v>
      </c>
      <c r="K525" s="1480" t="str">
        <f t="shared" si="48"/>
        <v>Pricing Schedule</v>
      </c>
      <c r="L525" s="907" t="s">
        <v>1295</v>
      </c>
      <c r="M525" s="1480">
        <v>494</v>
      </c>
      <c r="N525" s="1480"/>
      <c r="O525" s="1477"/>
      <c r="P525" s="1477"/>
      <c r="Q525" s="1477"/>
      <c r="R525" s="1477"/>
      <c r="S525" s="1477"/>
      <c r="T525" s="1477"/>
      <c r="U525" s="1477"/>
      <c r="V525" s="1477"/>
      <c r="W525" s="1477"/>
      <c r="X525" s="1477"/>
      <c r="Y525" s="1477"/>
      <c r="Z525" s="1477"/>
    </row>
    <row r="526" spans="1:26" hidden="1"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80"/>
      <c r="H526" s="1480"/>
      <c r="I526" s="1427" t="str">
        <f t="shared" si="47"/>
        <v>Min CS Markup Amt</v>
      </c>
      <c r="J526" s="1480" t="str">
        <f t="shared" si="49"/>
        <v>F495</v>
      </c>
      <c r="K526" s="1480" t="str">
        <f t="shared" si="48"/>
        <v>Pricing Schedule</v>
      </c>
      <c r="L526" s="907" t="s">
        <v>1296</v>
      </c>
      <c r="M526" s="1480">
        <v>495</v>
      </c>
      <c r="N526" s="1480"/>
      <c r="O526" s="1477"/>
      <c r="P526" s="1477"/>
      <c r="Q526" s="1477"/>
      <c r="R526" s="1477"/>
      <c r="S526" s="1477"/>
      <c r="T526" s="1477"/>
      <c r="U526" s="1477"/>
      <c r="V526" s="1477"/>
      <c r="W526" s="1477"/>
      <c r="X526" s="1477"/>
      <c r="Y526" s="1477"/>
      <c r="Z526" s="1477"/>
    </row>
    <row r="527" spans="1:26" hidden="1"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80"/>
      <c r="H527" s="1480"/>
      <c r="I527" s="1427" t="str">
        <f t="shared" si="47"/>
        <v>Split Case Fee Override Flag</v>
      </c>
      <c r="J527" s="1480" t="str">
        <f t="shared" si="49"/>
        <v>F496</v>
      </c>
      <c r="K527" s="1480" t="str">
        <f t="shared" si="48"/>
        <v>Pricing Schedule</v>
      </c>
      <c r="L527" s="907" t="s">
        <v>1297</v>
      </c>
      <c r="M527" s="1480">
        <v>496</v>
      </c>
      <c r="N527" s="1480"/>
      <c r="O527" s="1477"/>
      <c r="P527" s="1477"/>
      <c r="Q527" s="1477"/>
      <c r="R527" s="1477"/>
      <c r="S527" s="1477"/>
      <c r="T527" s="1477"/>
      <c r="U527" s="1477"/>
      <c r="V527" s="1477"/>
      <c r="W527" s="1477"/>
      <c r="X527" s="1477"/>
      <c r="Y527" s="1477"/>
      <c r="Z527" s="1477"/>
    </row>
    <row r="528" spans="1:26" hidden="1"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80"/>
      <c r="H528" s="1480"/>
      <c r="I528" s="1427" t="str">
        <f t="shared" si="47"/>
        <v>Split Case Fee</v>
      </c>
      <c r="J528" s="1480" t="str">
        <f t="shared" si="49"/>
        <v>F497</v>
      </c>
      <c r="K528" s="1480" t="str">
        <f t="shared" si="48"/>
        <v>Pricing Schedule</v>
      </c>
      <c r="L528" s="907" t="s">
        <v>1298</v>
      </c>
      <c r="M528" s="1480">
        <v>497</v>
      </c>
      <c r="N528" s="1480"/>
      <c r="O528" s="1477"/>
      <c r="P528" s="1477"/>
      <c r="Q528" s="1477"/>
      <c r="R528" s="1477"/>
      <c r="S528" s="1477"/>
      <c r="T528" s="1477"/>
      <c r="U528" s="1477"/>
      <c r="V528" s="1477"/>
      <c r="W528" s="1477"/>
      <c r="X528" s="1477"/>
      <c r="Y528" s="1477"/>
      <c r="Z528" s="1477"/>
    </row>
    <row r="529" spans="1:26" hidden="1"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80"/>
      <c r="H529" s="1480"/>
      <c r="I529" s="1427" t="str">
        <f t="shared" si="47"/>
        <v>Split Case Per</v>
      </c>
      <c r="J529" s="1480" t="str">
        <f t="shared" si="49"/>
        <v>F498</v>
      </c>
      <c r="K529" s="1480" t="str">
        <f t="shared" si="48"/>
        <v>Pricing Schedule</v>
      </c>
      <c r="L529" s="907" t="s">
        <v>1238</v>
      </c>
      <c r="M529" s="1480">
        <v>498</v>
      </c>
      <c r="N529" s="1480"/>
      <c r="O529" s="1477"/>
      <c r="P529" s="1477"/>
      <c r="Q529" s="1477"/>
      <c r="R529" s="1477"/>
      <c r="S529" s="1477"/>
      <c r="T529" s="1477"/>
      <c r="U529" s="1477"/>
      <c r="V529" s="1477"/>
      <c r="W529" s="1477"/>
      <c r="X529" s="1477"/>
      <c r="Y529" s="1477"/>
      <c r="Z529" s="1477"/>
    </row>
    <row r="530" spans="1:26" hidden="1"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7"/>
        <v>Pricing Termination End Date</v>
      </c>
      <c r="J530" s="1480" t="str">
        <f t="shared" si="49"/>
        <v>F499</v>
      </c>
      <c r="K530" s="1480" t="str">
        <f t="shared" si="48"/>
        <v>Pricing Schedule</v>
      </c>
      <c r="L530" s="907" t="s">
        <v>1285</v>
      </c>
      <c r="M530" s="1480">
        <v>499</v>
      </c>
      <c r="N530" s="1480"/>
      <c r="O530" s="1477"/>
      <c r="P530" s="1477"/>
      <c r="Q530" s="1477"/>
      <c r="R530" s="1477"/>
      <c r="S530" s="1477"/>
      <c r="T530" s="1477"/>
      <c r="U530" s="1477"/>
      <c r="V530" s="1477"/>
      <c r="W530" s="1477"/>
      <c r="X530" s="1477"/>
      <c r="Y530" s="1477"/>
      <c r="Z530" s="1477"/>
    </row>
    <row r="531" spans="1:26" hidden="1" x14ac:dyDescent="0.25">
      <c r="A531" s="923"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3" t="s">
        <v>1286</v>
      </c>
      <c r="G531" s="52" t="s">
        <v>659</v>
      </c>
      <c r="H531" s="52" t="s">
        <v>1845</v>
      </c>
      <c r="I531" s="1427" t="str">
        <f t="shared" si="47"/>
        <v>Pricing Termination End Date Flag</v>
      </c>
      <c r="J531" s="1480" t="str">
        <f t="shared" si="49"/>
        <v>F500</v>
      </c>
      <c r="K531" s="1480" t="str">
        <f t="shared" si="48"/>
        <v>Pricing Schedule</v>
      </c>
      <c r="L531" s="907" t="s">
        <v>1286</v>
      </c>
      <c r="M531" s="1480">
        <v>500</v>
      </c>
      <c r="N531" s="1480"/>
      <c r="O531" s="1477"/>
      <c r="P531" s="1477"/>
      <c r="Q531" s="1477"/>
      <c r="R531" s="1477"/>
      <c r="S531" s="1477"/>
      <c r="T531" s="1477"/>
      <c r="U531" s="1477"/>
      <c r="V531" s="1477"/>
      <c r="W531" s="1477"/>
      <c r="X531" s="1477"/>
      <c r="Y531" s="1477"/>
      <c r="Z531" s="1477"/>
    </row>
    <row r="532" spans="1:26" hidden="1" x14ac:dyDescent="0.25">
      <c r="A532" s="906" t="s">
        <v>1280</v>
      </c>
      <c r="B532" s="1427" t="str">
        <f t="shared" ca="1" si="50"/>
        <v>H4</v>
      </c>
      <c r="C532" s="1480" t="str">
        <f t="shared" ca="1" si="51"/>
        <v>H5</v>
      </c>
      <c r="D532" s="867" t="s">
        <v>1365</v>
      </c>
      <c r="E532" s="867" t="s">
        <v>1289</v>
      </c>
      <c r="F532" s="1480"/>
      <c r="G532" s="1480"/>
      <c r="H532" s="1480"/>
      <c r="I532" s="1427" t="str">
        <f t="shared" si="47"/>
        <v>Pricing Override Flag</v>
      </c>
      <c r="J532" s="1480" t="str">
        <f t="shared" si="49"/>
        <v>F501</v>
      </c>
      <c r="K532" s="1480" t="str">
        <f t="shared" si="48"/>
        <v>Pricing Schedule</v>
      </c>
      <c r="L532" s="907" t="s">
        <v>1280</v>
      </c>
      <c r="M532" s="1480">
        <v>501</v>
      </c>
      <c r="N532" s="1480"/>
      <c r="O532" s="1477"/>
      <c r="P532" s="1477"/>
      <c r="Q532" s="1477"/>
      <c r="R532" s="1477"/>
      <c r="S532" s="1477"/>
      <c r="T532" s="1477"/>
      <c r="U532" s="1477"/>
      <c r="V532" s="1477"/>
      <c r="W532" s="1477"/>
      <c r="X532" s="1477"/>
      <c r="Y532" s="1477"/>
      <c r="Z532" s="1477"/>
    </row>
    <row r="533" spans="1:26" hidden="1" x14ac:dyDescent="0.25">
      <c r="A533" s="906" t="s">
        <v>1278</v>
      </c>
      <c r="B533" s="1427" t="str">
        <f t="shared" ca="1" si="50"/>
        <v>F4</v>
      </c>
      <c r="C533" s="1480" t="str">
        <f t="shared" ca="1" si="51"/>
        <v>F5</v>
      </c>
      <c r="D533" s="867" t="s">
        <v>1365</v>
      </c>
      <c r="E533" s="867" t="s">
        <v>1289</v>
      </c>
      <c r="F533" s="1480"/>
      <c r="G533" s="1480"/>
      <c r="H533" s="1480"/>
      <c r="I533" s="1427" t="str">
        <f t="shared" si="47"/>
        <v>EBP Cost Basis</v>
      </c>
      <c r="J533" s="1480" t="str">
        <f t="shared" si="49"/>
        <v>F514</v>
      </c>
      <c r="K533" s="1480" t="str">
        <f t="shared" si="48"/>
        <v>Pricing Schedule</v>
      </c>
      <c r="L533" s="906" t="s">
        <v>1278</v>
      </c>
      <c r="M533" s="1480">
        <v>514</v>
      </c>
      <c r="N533" s="1480"/>
      <c r="O533" s="1477"/>
      <c r="P533" s="1477"/>
      <c r="Q533" s="1477"/>
      <c r="R533" s="1477"/>
      <c r="S533" s="1477"/>
      <c r="T533" s="1477"/>
      <c r="U533" s="1477"/>
      <c r="V533" s="1477"/>
      <c r="W533" s="1477"/>
      <c r="X533" s="1477"/>
      <c r="Y533" s="1477"/>
      <c r="Z533" s="1477"/>
    </row>
    <row r="534" spans="1:26" hidden="1" x14ac:dyDescent="0.25">
      <c r="A534" s="906" t="s">
        <v>1279</v>
      </c>
      <c r="B534" s="1427" t="str">
        <f t="shared" ca="1" si="50"/>
        <v>G4</v>
      </c>
      <c r="C534" s="1480" t="str">
        <f t="shared" ca="1" si="51"/>
        <v>G5</v>
      </c>
      <c r="D534" s="867" t="s">
        <v>1365</v>
      </c>
      <c r="E534" s="867" t="s">
        <v>1289</v>
      </c>
      <c r="F534" s="1480"/>
      <c r="G534" s="1480"/>
      <c r="H534" s="1480"/>
      <c r="I534" s="1427" t="str">
        <f t="shared" si="47"/>
        <v>Eligible EBP Language</v>
      </c>
      <c r="J534" s="1480" t="str">
        <f t="shared" si="49"/>
        <v>F515</v>
      </c>
      <c r="K534" s="1480" t="str">
        <f t="shared" si="48"/>
        <v>Pricing Schedule</v>
      </c>
      <c r="L534" s="906" t="s">
        <v>1477</v>
      </c>
      <c r="M534" s="1480">
        <v>515</v>
      </c>
      <c r="N534" s="1480"/>
      <c r="O534" s="1477"/>
      <c r="P534" s="1477"/>
      <c r="Q534" s="1477"/>
      <c r="R534" s="1477"/>
      <c r="S534" s="1477"/>
      <c r="T534" s="1477"/>
      <c r="U534" s="1477"/>
      <c r="V534" s="1477"/>
      <c r="W534" s="1477"/>
      <c r="X534" s="1477"/>
      <c r="Y534" s="1477"/>
      <c r="Z534" s="1477"/>
    </row>
    <row r="535" spans="1:26" hidden="1" x14ac:dyDescent="0.25">
      <c r="A535" s="906" t="s">
        <v>1281</v>
      </c>
      <c r="B535" s="1427" t="str">
        <f t="shared" ca="1" si="50"/>
        <v>I4</v>
      </c>
      <c r="C535" s="1480" t="str">
        <f t="shared" ca="1" si="51"/>
        <v>I5</v>
      </c>
      <c r="D535" s="867" t="s">
        <v>1365</v>
      </c>
      <c r="E535" s="867" t="s">
        <v>1289</v>
      </c>
      <c r="F535" s="1480"/>
      <c r="G535" s="1480"/>
      <c r="H535" s="1480"/>
      <c r="I535" s="1427" t="str">
        <f t="shared" si="47"/>
        <v>Product Pricing Schedule Included Flag</v>
      </c>
      <c r="J535" s="1480" t="str">
        <f t="shared" si="49"/>
        <v>F517</v>
      </c>
      <c r="K535" s="1480" t="str">
        <f t="shared" si="48"/>
        <v>Pricing Schedule</v>
      </c>
      <c r="L535" s="906" t="s">
        <v>1281</v>
      </c>
      <c r="M535" s="1480">
        <v>517</v>
      </c>
      <c r="N535" s="1480"/>
      <c r="O535" s="1477"/>
      <c r="P535" s="1477"/>
      <c r="Q535" s="1477"/>
      <c r="R535" s="1477"/>
      <c r="S535" s="1477"/>
      <c r="T535" s="1477"/>
      <c r="U535" s="1477"/>
      <c r="V535" s="1477"/>
      <c r="W535" s="1477"/>
      <c r="X535" s="1477"/>
      <c r="Y535" s="1477"/>
      <c r="Z535" s="1477"/>
    </row>
    <row r="536" spans="1:26" hidden="1" x14ac:dyDescent="0.25">
      <c r="A536" s="906" t="s">
        <v>1282</v>
      </c>
      <c r="B536" s="1427" t="str">
        <f t="shared" ca="1" si="50"/>
        <v>J4</v>
      </c>
      <c r="C536" s="1480" t="str">
        <f t="shared" ca="1" si="51"/>
        <v>J5</v>
      </c>
      <c r="D536" s="867" t="s">
        <v>1365</v>
      </c>
      <c r="E536" s="867" t="s">
        <v>1289</v>
      </c>
      <c r="F536" s="1480"/>
      <c r="G536" s="1480"/>
      <c r="H536" s="1480"/>
      <c r="I536" s="1427" t="str">
        <f t="shared" si="47"/>
        <v>Special Pricing Flag</v>
      </c>
      <c r="J536" s="1480" t="str">
        <f t="shared" si="49"/>
        <v>F518</v>
      </c>
      <c r="K536" s="1480" t="str">
        <f t="shared" si="48"/>
        <v>Pricing Schedule</v>
      </c>
      <c r="L536" s="906" t="s">
        <v>1282</v>
      </c>
      <c r="M536" s="1480">
        <v>518</v>
      </c>
      <c r="N536" s="1480"/>
      <c r="O536" s="1477"/>
      <c r="P536" s="1477"/>
      <c r="Q536" s="1477"/>
      <c r="R536" s="1477"/>
      <c r="S536" s="1477"/>
      <c r="T536" s="1477"/>
      <c r="U536" s="1477"/>
      <c r="V536" s="1477"/>
      <c r="W536" s="1477"/>
      <c r="X536" s="1477"/>
      <c r="Y536" s="1477"/>
      <c r="Z536" s="1477"/>
    </row>
    <row r="537" spans="1:26" hidden="1" x14ac:dyDescent="0.25">
      <c r="A537" s="906" t="s">
        <v>1283</v>
      </c>
      <c r="B537" s="1427" t="str">
        <f t="shared" ca="1" si="50"/>
        <v>K4</v>
      </c>
      <c r="C537" s="1480" t="str">
        <f t="shared" ca="1" si="51"/>
        <v>K5</v>
      </c>
      <c r="D537" s="867" t="s">
        <v>1365</v>
      </c>
      <c r="E537" s="867" t="s">
        <v>1289</v>
      </c>
      <c r="F537" s="1480"/>
      <c r="G537" s="1480"/>
      <c r="H537" s="1480"/>
      <c r="I537" s="1427" t="str">
        <f t="shared" si="47"/>
        <v>Altenate Pricing Schedule Flag</v>
      </c>
      <c r="J537" s="1480" t="str">
        <f t="shared" si="49"/>
        <v>F519</v>
      </c>
      <c r="K537" s="1480" t="str">
        <f t="shared" si="48"/>
        <v>Pricing Schedule</v>
      </c>
      <c r="L537" s="906" t="s">
        <v>1479</v>
      </c>
      <c r="M537" s="1480">
        <v>519</v>
      </c>
      <c r="N537" s="1480"/>
      <c r="O537" s="1477"/>
      <c r="P537" s="1477"/>
      <c r="Q537" s="1477"/>
      <c r="R537" s="1477"/>
      <c r="S537" s="1477"/>
      <c r="T537" s="1477"/>
      <c r="U537" s="1477"/>
      <c r="V537" s="1477"/>
      <c r="W537" s="1477"/>
      <c r="X537" s="1477"/>
      <c r="Y537" s="1477"/>
      <c r="Z537" s="1477"/>
    </row>
    <row r="538" spans="1:26" hidden="1" x14ac:dyDescent="0.25">
      <c r="A538" s="906" t="s">
        <v>1284</v>
      </c>
      <c r="B538" s="1427" t="str">
        <f t="shared" ca="1" si="50"/>
        <v>L4</v>
      </c>
      <c r="C538" s="1480" t="str">
        <f t="shared" ca="1" si="51"/>
        <v>L5</v>
      </c>
      <c r="D538" s="867" t="s">
        <v>1365</v>
      </c>
      <c r="E538" s="867" t="s">
        <v>1289</v>
      </c>
      <c r="F538" s="1480"/>
      <c r="G538" s="1480"/>
      <c r="H538" s="1480"/>
      <c r="I538" s="1427" t="str">
        <f t="shared" si="47"/>
        <v>EB Pricing Schedule Flag</v>
      </c>
      <c r="J538" s="1480" t="str">
        <f t="shared" si="49"/>
        <v>F520</v>
      </c>
      <c r="K538" s="1480" t="str">
        <f t="shared" si="48"/>
        <v>Pricing Schedule</v>
      </c>
      <c r="L538" s="906" t="s">
        <v>1284</v>
      </c>
      <c r="M538" s="52">
        <v>520</v>
      </c>
      <c r="N538" s="1480"/>
      <c r="O538" s="1477" t="s">
        <v>728</v>
      </c>
      <c r="P538" s="1477"/>
      <c r="Q538" s="1477"/>
      <c r="R538" s="1477"/>
      <c r="S538" s="1477"/>
      <c r="T538" s="1477"/>
      <c r="U538" s="1477"/>
      <c r="V538" s="1477"/>
      <c r="W538" s="1477"/>
      <c r="X538" s="1477"/>
      <c r="Y538" s="1477"/>
      <c r="Z538" s="1477"/>
    </row>
    <row r="539" spans="1:26"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80" t="s">
        <v>1510</v>
      </c>
      <c r="G539" s="1480" t="str">
        <f>IF(T539&lt;&gt;"","A","")</f>
        <v/>
      </c>
      <c r="H539" s="1480" t="s">
        <v>2063</v>
      </c>
      <c r="I539" s="1427" t="str">
        <f t="shared" si="47"/>
        <v/>
      </c>
      <c r="J539" s="1480"/>
      <c r="K539" s="1480" t="str">
        <f t="shared" si="48"/>
        <v/>
      </c>
      <c r="L539" s="906" t="s">
        <v>1510</v>
      </c>
      <c r="M539" s="1480">
        <v>522</v>
      </c>
      <c r="N539" s="1480"/>
      <c r="O539" s="1477">
        <f>'Configurable Tab'!H3</f>
        <v>3</v>
      </c>
      <c r="P539" s="1477"/>
      <c r="Q539" s="1477"/>
      <c r="R539" s="1480" t="s">
        <v>857</v>
      </c>
      <c r="S539" s="1477"/>
      <c r="T539" s="1480" t="str">
        <f>IF(Q$540="Yes",1,"")</f>
        <v/>
      </c>
      <c r="U539" s="1477"/>
      <c r="V539" s="1477"/>
      <c r="W539" s="1477"/>
      <c r="X539" s="1477"/>
      <c r="Y539" s="1477"/>
      <c r="Z539" s="1477"/>
    </row>
    <row r="540" spans="1:26"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80"/>
      <c r="G540" s="1480"/>
      <c r="H540" s="1480"/>
      <c r="I540" s="1427" t="str">
        <f t="shared" si="47"/>
        <v/>
      </c>
      <c r="J540" s="1480" t="str">
        <f t="shared" ref="J540:J552" si="52">IF(M540&lt;&gt;"",IF($Q$540="Yes",Q$1&amp;M540,""))</f>
        <v/>
      </c>
      <c r="K540" s="1480" t="str">
        <f t="shared" si="48"/>
        <v/>
      </c>
      <c r="L540" s="906" t="s">
        <v>1724</v>
      </c>
      <c r="M540" s="1480">
        <v>523</v>
      </c>
      <c r="N540" s="1480"/>
      <c r="O540" s="1477" t="s">
        <v>729</v>
      </c>
      <c r="P540" s="1477"/>
      <c r="Q540" s="1477" t="s">
        <v>651</v>
      </c>
      <c r="R540" s="1480" t="s">
        <v>857</v>
      </c>
      <c r="S540" s="1477"/>
      <c r="T540" s="1480" t="str">
        <f>IF(Q$540="Yes",1,"")</f>
        <v/>
      </c>
      <c r="U540" s="1477"/>
      <c r="V540" s="1477"/>
      <c r="W540" s="1477"/>
      <c r="X540" s="1477"/>
      <c r="Y540" s="1477"/>
      <c r="Z540" s="1477"/>
    </row>
    <row r="541" spans="1:26"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80" t="s">
        <v>1399</v>
      </c>
      <c r="G541" s="1480" t="str">
        <f>IF(T541&lt;&gt;"","B","")</f>
        <v/>
      </c>
      <c r="H541" s="1480" t="s">
        <v>2063</v>
      </c>
      <c r="I541" s="1427" t="str">
        <f t="shared" si="47"/>
        <v/>
      </c>
      <c r="J541" s="1480"/>
      <c r="K541" s="1480" t="str">
        <f t="shared" si="48"/>
        <v/>
      </c>
      <c r="L541" s="906" t="s">
        <v>1399</v>
      </c>
      <c r="M541" s="1480">
        <v>524</v>
      </c>
      <c r="N541" s="1480"/>
      <c r="O541" s="1477">
        <f>'Configurable Tab'!I3</f>
        <v>16</v>
      </c>
      <c r="P541" s="1477"/>
      <c r="Q541" s="1477"/>
      <c r="R541" s="1480" t="s">
        <v>857</v>
      </c>
      <c r="S541" s="1477"/>
      <c r="T541" s="1480" t="str">
        <f>IF(Q$540="Yes",1,"")</f>
        <v/>
      </c>
      <c r="U541" s="1477"/>
      <c r="V541" s="1477"/>
      <c r="W541" s="1477"/>
      <c r="X541" s="1477"/>
      <c r="Y541" s="1477"/>
      <c r="Z541" s="1477"/>
    </row>
    <row r="542" spans="1:26" x14ac:dyDescent="0.25">
      <c r="A542" s="928" t="s">
        <v>1396</v>
      </c>
      <c r="B542" s="906" t="str">
        <f t="shared" ref="B542:B548" ca="1" si="53">_xlfn.CONCAT(IFERROR(SUBSTITUTE(ADDRESS(1,MATCH(A542,INDIRECT("'"&amp;E542&amp;"'"&amp;"!A" &amp; $O$539+2 &amp; ":Z"&amp;$O$539+2 ),0),4),1,""),""),$O$539+2)</f>
        <v>H5</v>
      </c>
      <c r="C542" s="906" t="str">
        <f t="shared" ref="C542:C548" ca="1" si="54">_xlfn.CONCAT(IFERROR(SUBSTITUTE(ADDRESS(1,MATCH(A542,INDIRECT("'"&amp;E542&amp;"'"&amp;"!A" &amp; $O$539+2 &amp; ":Z"&amp;$O$539+2 ),0),4),1,""),""),$O$539+3)</f>
        <v>H6</v>
      </c>
      <c r="D542" s="906" t="s">
        <v>1365</v>
      </c>
      <c r="E542" s="906" t="s">
        <v>1535</v>
      </c>
      <c r="F542" s="1480" t="s">
        <v>2064</v>
      </c>
      <c r="G542" s="1480" t="str">
        <f>IF(T542&lt;&gt;"","E","")</f>
        <v/>
      </c>
      <c r="H542" s="1480" t="s">
        <v>2063</v>
      </c>
      <c r="I542" s="1427" t="str">
        <f t="shared" si="47"/>
        <v/>
      </c>
      <c r="J542" s="1480" t="str">
        <f t="shared" si="52"/>
        <v/>
      </c>
      <c r="K542" s="1480" t="str">
        <f t="shared" si="48"/>
        <v/>
      </c>
      <c r="L542" s="906" t="s">
        <v>1396</v>
      </c>
      <c r="M542" s="1480">
        <v>525</v>
      </c>
      <c r="N542" s="1480"/>
      <c r="O542" s="1477" t="s">
        <v>1651</v>
      </c>
      <c r="P542" s="1477"/>
      <c r="Q542" s="1477"/>
      <c r="R542" s="1480" t="s">
        <v>857</v>
      </c>
      <c r="S542" s="1477"/>
      <c r="T542" s="1480" t="str">
        <f t="shared" ref="T542:T553" si="55">IF(Q$540="Yes",1,"")</f>
        <v/>
      </c>
      <c r="U542" s="1477"/>
      <c r="V542" s="1477"/>
      <c r="W542" s="1477"/>
      <c r="X542" s="1477"/>
      <c r="Y542" s="1477"/>
      <c r="Z542" s="1477"/>
    </row>
    <row r="543" spans="1:26" x14ac:dyDescent="0.25">
      <c r="A543" s="928" t="s">
        <v>1397</v>
      </c>
      <c r="B543" s="906" t="str">
        <f t="shared" ca="1" si="53"/>
        <v>J5</v>
      </c>
      <c r="C543" s="906" t="str">
        <f t="shared" ca="1" si="54"/>
        <v>J6</v>
      </c>
      <c r="D543" s="906" t="s">
        <v>1365</v>
      </c>
      <c r="E543" s="906" t="s">
        <v>1535</v>
      </c>
      <c r="F543" s="1480" t="s">
        <v>2065</v>
      </c>
      <c r="G543" s="1480" t="str">
        <f>IF(T543&lt;&gt;"","I","")</f>
        <v/>
      </c>
      <c r="H543" s="1480" t="s">
        <v>2063</v>
      </c>
      <c r="I543" s="1427" t="str">
        <f t="shared" si="47"/>
        <v/>
      </c>
      <c r="J543" s="1480" t="str">
        <f t="shared" si="52"/>
        <v/>
      </c>
      <c r="K543" s="1480" t="str">
        <f t="shared" si="48"/>
        <v/>
      </c>
      <c r="L543" s="906" t="s">
        <v>1397</v>
      </c>
      <c r="M543" s="1480">
        <v>526</v>
      </c>
      <c r="N543" s="1480"/>
      <c r="O543" s="1477"/>
      <c r="P543" s="1477"/>
      <c r="Q543" s="1477"/>
      <c r="R543" s="1480" t="s">
        <v>857</v>
      </c>
      <c r="S543" s="1477"/>
      <c r="T543" s="1480" t="str">
        <f t="shared" si="55"/>
        <v/>
      </c>
      <c r="U543" s="1477"/>
      <c r="V543" s="1477"/>
      <c r="W543" s="1477"/>
      <c r="X543" s="1477"/>
      <c r="Y543" s="1477"/>
      <c r="Z543" s="1477"/>
    </row>
    <row r="544" spans="1:26" x14ac:dyDescent="0.25">
      <c r="A544" s="928" t="s">
        <v>1413</v>
      </c>
      <c r="B544" s="906" t="str">
        <f t="shared" ca="1" si="53"/>
        <v>L5</v>
      </c>
      <c r="C544" s="906" t="str">
        <f t="shared" ca="1" si="54"/>
        <v>L6</v>
      </c>
      <c r="D544" s="906" t="s">
        <v>1365</v>
      </c>
      <c r="E544" s="906" t="s">
        <v>1535</v>
      </c>
      <c r="F544" s="1480" t="s">
        <v>2066</v>
      </c>
      <c r="G544" s="1480" t="str">
        <f>IF(T544&lt;&gt;"","H","")</f>
        <v/>
      </c>
      <c r="H544" s="1480" t="s">
        <v>2063</v>
      </c>
      <c r="I544" s="1427" t="str">
        <f t="shared" si="47"/>
        <v/>
      </c>
      <c r="J544" s="1480" t="str">
        <f t="shared" si="52"/>
        <v/>
      </c>
      <c r="K544" s="1480" t="str">
        <f t="shared" si="48"/>
        <v/>
      </c>
      <c r="L544" s="906" t="s">
        <v>1413</v>
      </c>
      <c r="M544" s="1480">
        <v>527</v>
      </c>
      <c r="N544" s="1480"/>
      <c r="O544" s="1477"/>
      <c r="P544" s="1477"/>
      <c r="Q544" s="1477"/>
      <c r="R544" s="1480" t="s">
        <v>857</v>
      </c>
      <c r="S544" s="1477"/>
      <c r="T544" s="1480" t="str">
        <f t="shared" si="55"/>
        <v/>
      </c>
      <c r="U544" s="1477"/>
      <c r="V544" s="1477"/>
      <c r="W544" s="1477"/>
      <c r="X544" s="1477"/>
      <c r="Y544" s="1477"/>
      <c r="Z544" s="1477"/>
    </row>
    <row r="545" spans="1:26" x14ac:dyDescent="0.25">
      <c r="A545" s="928" t="s">
        <v>1398</v>
      </c>
      <c r="B545" s="906" t="str">
        <f t="shared" ca="1" si="53"/>
        <v>N5</v>
      </c>
      <c r="C545" s="906" t="str">
        <f t="shared" ca="1" si="54"/>
        <v>N6</v>
      </c>
      <c r="D545" s="906" t="s">
        <v>1365</v>
      </c>
      <c r="E545" s="906" t="s">
        <v>1535</v>
      </c>
      <c r="F545" s="1480" t="s">
        <v>1398</v>
      </c>
      <c r="G545" s="1480" t="str">
        <f>IF(T545&lt;&gt;"",IF(Q543="Credit Memo","J",IF(Q543="Check","K","")),"")</f>
        <v/>
      </c>
      <c r="H545" s="1480" t="s">
        <v>2063</v>
      </c>
      <c r="I545" s="1427" t="str">
        <f t="shared" si="47"/>
        <v/>
      </c>
      <c r="J545" s="1480" t="str">
        <f t="shared" si="52"/>
        <v/>
      </c>
      <c r="K545" s="1480" t="str">
        <f t="shared" si="48"/>
        <v/>
      </c>
      <c r="L545" s="906" t="s">
        <v>1398</v>
      </c>
      <c r="M545" s="1480">
        <v>528</v>
      </c>
      <c r="N545" s="1480"/>
      <c r="O545" s="1477"/>
      <c r="P545" s="1477"/>
      <c r="Q545" s="1477"/>
      <c r="R545" s="1480" t="s">
        <v>857</v>
      </c>
      <c r="S545" s="1477"/>
      <c r="T545" s="1480" t="str">
        <f t="shared" si="55"/>
        <v/>
      </c>
      <c r="U545" s="1477"/>
      <c r="V545" s="1477"/>
      <c r="W545" s="1477"/>
      <c r="X545" s="1477"/>
      <c r="Y545" s="1477"/>
      <c r="Z545" s="1477"/>
    </row>
    <row r="546" spans="1:26" x14ac:dyDescent="0.25">
      <c r="A546" s="928" t="s">
        <v>1505</v>
      </c>
      <c r="B546" s="906" t="str">
        <f t="shared" ca="1" si="53"/>
        <v>P5</v>
      </c>
      <c r="C546" s="906" t="str">
        <f t="shared" ca="1" si="54"/>
        <v>P6</v>
      </c>
      <c r="D546" s="906" t="s">
        <v>1365</v>
      </c>
      <c r="E546" s="906" t="s">
        <v>1535</v>
      </c>
      <c r="F546" s="1480" t="s">
        <v>2067</v>
      </c>
      <c r="G546" s="1480" t="str">
        <f>IF(T546&lt;&gt;"","F","")</f>
        <v/>
      </c>
      <c r="H546" s="1480" t="s">
        <v>2063</v>
      </c>
      <c r="I546" s="1427" t="str">
        <f t="shared" si="47"/>
        <v/>
      </c>
      <c r="J546" s="1480" t="str">
        <f t="shared" si="52"/>
        <v/>
      </c>
      <c r="K546" s="1480" t="str">
        <f t="shared" si="48"/>
        <v/>
      </c>
      <c r="L546" s="906" t="s">
        <v>1505</v>
      </c>
      <c r="M546" s="1480">
        <v>529</v>
      </c>
      <c r="N546" s="1480"/>
      <c r="O546" s="1477"/>
      <c r="P546" s="1477"/>
      <c r="Q546" s="1477"/>
      <c r="R546" s="1480" t="s">
        <v>857</v>
      </c>
      <c r="S546" s="1477"/>
      <c r="T546" s="1480" t="str">
        <f t="shared" si="55"/>
        <v/>
      </c>
      <c r="U546" s="1477"/>
      <c r="V546" s="1477"/>
      <c r="W546" s="1477"/>
      <c r="X546" s="1477"/>
      <c r="Y546" s="1477"/>
      <c r="Z546" s="1477"/>
    </row>
    <row r="547" spans="1:26" x14ac:dyDescent="0.25">
      <c r="A547" s="928" t="s">
        <v>1506</v>
      </c>
      <c r="B547" s="906" t="str">
        <f t="shared" ca="1" si="53"/>
        <v>R5</v>
      </c>
      <c r="C547" s="906" t="str">
        <f t="shared" ca="1" si="54"/>
        <v>R6</v>
      </c>
      <c r="D547" s="906" t="s">
        <v>1365</v>
      </c>
      <c r="E547" s="906" t="s">
        <v>1535</v>
      </c>
      <c r="F547" s="1480" t="s">
        <v>2068</v>
      </c>
      <c r="G547" s="1480" t="str">
        <f>IF(T547&lt;&gt;"","G","")</f>
        <v/>
      </c>
      <c r="H547" s="1480" t="s">
        <v>2063</v>
      </c>
      <c r="I547" s="1427" t="str">
        <f t="shared" si="47"/>
        <v/>
      </c>
      <c r="J547" s="1480" t="str">
        <f t="shared" si="52"/>
        <v/>
      </c>
      <c r="K547" s="1480" t="str">
        <f t="shared" si="48"/>
        <v/>
      </c>
      <c r="L547" s="906" t="s">
        <v>1506</v>
      </c>
      <c r="M547" s="1480">
        <v>530</v>
      </c>
      <c r="N547" s="1480"/>
      <c r="O547" s="1477"/>
      <c r="P547" s="1477"/>
      <c r="Q547" s="1477"/>
      <c r="R547" s="1480" t="s">
        <v>857</v>
      </c>
      <c r="S547" s="1477"/>
      <c r="T547" s="1480" t="str">
        <f t="shared" si="55"/>
        <v/>
      </c>
      <c r="U547" s="1477"/>
      <c r="V547" s="1477"/>
      <c r="W547" s="1477"/>
      <c r="X547" s="1477"/>
      <c r="Y547" s="1477"/>
      <c r="Z547" s="1477"/>
    </row>
    <row r="548" spans="1:26" x14ac:dyDescent="0.25">
      <c r="A548" s="928" t="s">
        <v>1507</v>
      </c>
      <c r="B548" s="906" t="str">
        <f t="shared" ca="1" si="53"/>
        <v>T5</v>
      </c>
      <c r="C548" s="906" t="str">
        <f t="shared" ca="1" si="54"/>
        <v>T6</v>
      </c>
      <c r="D548" s="906" t="s">
        <v>1365</v>
      </c>
      <c r="E548" s="906" t="s">
        <v>1535</v>
      </c>
      <c r="F548" s="923" t="s">
        <v>1507</v>
      </c>
      <c r="G548" s="1480" t="str">
        <f>IF(T548&lt;&gt;"","AW","")</f>
        <v/>
      </c>
      <c r="H548" s="1480" t="s">
        <v>2063</v>
      </c>
      <c r="I548" s="1427" t="str">
        <f t="shared" si="47"/>
        <v/>
      </c>
      <c r="J548" s="1480" t="str">
        <f t="shared" si="52"/>
        <v/>
      </c>
      <c r="K548" s="1480" t="str">
        <f t="shared" si="48"/>
        <v/>
      </c>
      <c r="L548" s="906" t="s">
        <v>1507</v>
      </c>
      <c r="M548" s="1480">
        <v>531</v>
      </c>
      <c r="N548" s="1480"/>
      <c r="O548" s="1477"/>
      <c r="P548" s="1477"/>
      <c r="Q548" s="1477"/>
      <c r="R548" s="1480" t="s">
        <v>857</v>
      </c>
      <c r="S548" s="1477"/>
      <c r="T548" s="1480" t="str">
        <f t="shared" si="55"/>
        <v/>
      </c>
      <c r="U548" s="1477"/>
      <c r="V548" s="1477"/>
      <c r="W548" s="1477"/>
      <c r="X548" s="1477"/>
      <c r="Y548" s="1477"/>
      <c r="Z548" s="1477"/>
    </row>
    <row r="549" spans="1:26"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80" t="s">
        <v>1401</v>
      </c>
      <c r="G549" s="1480" t="str">
        <f>IF(T549&lt;&gt;"","C","")</f>
        <v/>
      </c>
      <c r="H549" s="1480" t="s">
        <v>2063</v>
      </c>
      <c r="I549" s="1427" t="str">
        <f t="shared" si="47"/>
        <v/>
      </c>
      <c r="J549" s="1480"/>
      <c r="K549" s="1480" t="str">
        <f t="shared" si="48"/>
        <v/>
      </c>
      <c r="L549" s="906" t="s">
        <v>1401</v>
      </c>
      <c r="M549" s="1480">
        <v>532</v>
      </c>
      <c r="N549" s="1480"/>
      <c r="O549" s="1477"/>
      <c r="P549" s="1477"/>
      <c r="Q549" s="1477"/>
      <c r="R549" s="1480" t="s">
        <v>857</v>
      </c>
      <c r="S549" s="1477"/>
      <c r="T549" s="1480" t="str">
        <f t="shared" si="55"/>
        <v/>
      </c>
      <c r="U549" s="1477"/>
      <c r="V549" s="1477"/>
      <c r="W549" s="1477"/>
      <c r="X549" s="1477"/>
      <c r="Y549" s="1477"/>
      <c r="Z549" s="1477"/>
    </row>
    <row r="550" spans="1:26"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80" t="s">
        <v>1402</v>
      </c>
      <c r="G550" s="1480" t="str">
        <f>IF(T550&lt;&gt;"","D","")</f>
        <v/>
      </c>
      <c r="H550" s="1480" t="s">
        <v>2063</v>
      </c>
      <c r="I550" s="1427" t="str">
        <f t="shared" si="47"/>
        <v/>
      </c>
      <c r="J550" s="1480"/>
      <c r="K550" s="1480" t="str">
        <f t="shared" si="48"/>
        <v/>
      </c>
      <c r="L550" s="906" t="s">
        <v>1402</v>
      </c>
      <c r="M550" s="1480">
        <v>533</v>
      </c>
      <c r="N550" s="1480"/>
      <c r="O550" s="1477"/>
      <c r="P550" s="1477"/>
      <c r="Q550" s="1477"/>
      <c r="R550" s="1480" t="s">
        <v>857</v>
      </c>
      <c r="S550" s="1477"/>
      <c r="T550" s="1480" t="str">
        <f t="shared" si="55"/>
        <v/>
      </c>
      <c r="U550" s="1477"/>
      <c r="V550" s="1477"/>
      <c r="W550" s="1477"/>
      <c r="X550" s="1477"/>
      <c r="Y550" s="1477"/>
      <c r="Z550" s="1477"/>
    </row>
    <row r="551" spans="1:26"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80" t="s">
        <v>1514</v>
      </c>
      <c r="G551" s="1480" t="str">
        <f>IF(T551&lt;&gt;"","AN","")</f>
        <v/>
      </c>
      <c r="H551" s="1480" t="s">
        <v>2063</v>
      </c>
      <c r="I551" s="1427" t="str">
        <f t="shared" si="47"/>
        <v/>
      </c>
      <c r="J551" s="1480" t="str">
        <f t="shared" si="52"/>
        <v/>
      </c>
      <c r="K551" s="1480" t="str">
        <f t="shared" si="48"/>
        <v/>
      </c>
      <c r="L551" s="906" t="s">
        <v>1514</v>
      </c>
      <c r="M551" s="1480">
        <v>534</v>
      </c>
      <c r="N551" s="1480"/>
      <c r="O551" s="1477"/>
      <c r="P551" s="1484" t="str" cm="1">
        <f t="array" aca="1" ref="P551" ca="1">_xlfn.CONCAT("F",RIGHT(B551, LEN(B551) - MAX(IF(ISNUMBER(MID(B551, ROW(INDIRECT("1:"&amp;LEN(B551))), 1) *1)=FALSE, ROW(INDIRECT("1:"&amp;LEN(B551))), 0))))</f>
        <v>F13</v>
      </c>
      <c r="Q551" s="1480" t="str" cm="1">
        <f t="array" aca="1" ref="Q551" ca="1">_xlfn.CONCAT("E",RIGHT(C551, LEN(C551) - MAX(IF(ISNUMBER(MID(C551, ROW(INDIRECT("1:"&amp;LEN(C551))), 1) *1)=FALSE, ROW(INDIRECT("1:"&amp;LEN(C551))), 0))))</f>
        <v>E13</v>
      </c>
      <c r="R551" s="1480" t="s">
        <v>857</v>
      </c>
      <c r="S551" s="1477"/>
      <c r="T551" s="1480" t="str">
        <f t="shared" si="55"/>
        <v/>
      </c>
      <c r="U551" s="1477"/>
      <c r="V551" s="1477"/>
      <c r="W551" s="1477"/>
      <c r="X551" s="1477"/>
      <c r="Y551" s="1477"/>
      <c r="Z551" s="1477"/>
    </row>
    <row r="552" spans="1:26"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80" t="s">
        <v>1511</v>
      </c>
      <c r="G552" s="1480" t="str">
        <f>IF(T552&lt;&gt;"","AL","")</f>
        <v/>
      </c>
      <c r="H552" s="1480" t="s">
        <v>2063</v>
      </c>
      <c r="I552" s="1427" t="str">
        <f t="shared" si="47"/>
        <v/>
      </c>
      <c r="J552" s="1480" t="str">
        <f t="shared" si="52"/>
        <v/>
      </c>
      <c r="K552" s="1480" t="str">
        <f t="shared" si="48"/>
        <v/>
      </c>
      <c r="L552" s="906" t="s">
        <v>1511</v>
      </c>
      <c r="M552" s="1480">
        <v>535</v>
      </c>
      <c r="N552" s="1480"/>
      <c r="O552" s="1477"/>
      <c r="P552" s="1477"/>
      <c r="Q552" s="1477"/>
      <c r="R552" s="1480" t="s">
        <v>857</v>
      </c>
      <c r="S552" s="1477"/>
      <c r="T552" s="1480" t="str">
        <f t="shared" si="55"/>
        <v/>
      </c>
      <c r="U552" s="1477"/>
      <c r="V552" s="1477"/>
      <c r="W552" s="1477"/>
      <c r="X552" s="1477"/>
      <c r="Y552" s="1477"/>
      <c r="Z552" s="1477"/>
    </row>
    <row r="553" spans="1:26"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80" t="s">
        <v>1985</v>
      </c>
      <c r="G553" s="1480" t="str">
        <f>IF(T553&lt;&gt;"","O","")</f>
        <v/>
      </c>
      <c r="H553" s="1480" t="s">
        <v>2063</v>
      </c>
      <c r="I553" s="1427" t="str">
        <f t="shared" si="47"/>
        <v/>
      </c>
      <c r="J553" s="1480"/>
      <c r="K553" s="1480" t="str">
        <f t="shared" si="48"/>
        <v/>
      </c>
      <c r="L553" s="906" t="s">
        <v>1405</v>
      </c>
      <c r="M553" s="1480">
        <v>536</v>
      </c>
      <c r="N553" s="1480"/>
      <c r="O553" s="1477"/>
      <c r="P553" s="1477"/>
      <c r="Q553" s="1477"/>
      <c r="R553" s="1480" t="s">
        <v>857</v>
      </c>
      <c r="S553" s="1477"/>
      <c r="T553" s="1480" t="str">
        <f t="shared" si="55"/>
        <v/>
      </c>
      <c r="U553" s="1477"/>
      <c r="V553" s="1477"/>
      <c r="W553" s="1477"/>
      <c r="X553" s="1477"/>
      <c r="Y553" s="1477"/>
      <c r="Z553" s="1477"/>
    </row>
    <row r="554" spans="1:26"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80" t="s">
        <v>1510</v>
      </c>
      <c r="G554" s="1480" t="str">
        <f>IF(T554&lt;&gt;"","A","")</f>
        <v/>
      </c>
      <c r="H554" s="1480" t="s">
        <v>2063</v>
      </c>
      <c r="I554" s="1427" t="str">
        <f t="shared" si="47"/>
        <v/>
      </c>
      <c r="J554" s="1480"/>
      <c r="K554" s="1480" t="str">
        <f t="shared" si="48"/>
        <v/>
      </c>
      <c r="L554" s="906" t="s">
        <v>1510</v>
      </c>
      <c r="M554" s="1480">
        <v>537</v>
      </c>
      <c r="N554" s="1480"/>
      <c r="O554" s="1477" t="s">
        <v>728</v>
      </c>
      <c r="P554" s="1477"/>
      <c r="Q554" s="1477"/>
      <c r="R554" s="1480" t="s">
        <v>857</v>
      </c>
      <c r="S554" s="1477"/>
      <c r="T554" s="1480" t="str">
        <f>IF(Q$555="Yes",2,"")</f>
        <v/>
      </c>
      <c r="U554" s="1477"/>
      <c r="V554" s="1477"/>
      <c r="W554" s="1477"/>
      <c r="X554" s="1477"/>
      <c r="Y554" s="1477"/>
      <c r="Z554" s="1477"/>
    </row>
    <row r="555" spans="1:26"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80"/>
      <c r="G555" s="1480"/>
      <c r="H555" s="1480"/>
      <c r="I555" s="1427" t="str">
        <f t="shared" si="47"/>
        <v/>
      </c>
      <c r="J555" s="1480" t="str">
        <f t="shared" ref="J555:J567" si="56">IF(M555&lt;&gt;"",IF($Q$555="Yes",Q$1&amp;M555,""))</f>
        <v/>
      </c>
      <c r="K555" s="1480" t="str">
        <f t="shared" si="48"/>
        <v/>
      </c>
      <c r="L555" s="906" t="s">
        <v>1724</v>
      </c>
      <c r="M555" s="1480">
        <v>538</v>
      </c>
      <c r="N555" s="1480"/>
      <c r="O555" s="1477">
        <f>'Configurable Tab'!H4</f>
        <v>17</v>
      </c>
      <c r="P555" s="1477"/>
      <c r="Q555" s="1477" t="s">
        <v>651</v>
      </c>
      <c r="R555" s="1480" t="s">
        <v>857</v>
      </c>
      <c r="S555" s="1477"/>
      <c r="T555" s="1480" t="str">
        <f>IF(Q$555="Yes",2,"")</f>
        <v/>
      </c>
      <c r="U555" s="1477"/>
      <c r="V555" s="1477"/>
      <c r="W555" s="1477"/>
      <c r="X555" s="1477"/>
      <c r="Y555" s="1477"/>
      <c r="Z555" s="1477"/>
    </row>
    <row r="556" spans="1:26"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80" t="s">
        <v>1399</v>
      </c>
      <c r="G556" s="1480" t="str">
        <f>IF(T556&lt;&gt;"","B","")</f>
        <v/>
      </c>
      <c r="H556" s="1480" t="s">
        <v>2063</v>
      </c>
      <c r="I556" s="1427" t="str">
        <f t="shared" si="47"/>
        <v/>
      </c>
      <c r="J556" s="1480"/>
      <c r="K556" s="1480" t="str">
        <f t="shared" si="48"/>
        <v/>
      </c>
      <c r="L556" s="906" t="s">
        <v>1399</v>
      </c>
      <c r="M556" s="1480">
        <v>539</v>
      </c>
      <c r="N556" s="1480"/>
      <c r="O556" s="1477" t="s">
        <v>729</v>
      </c>
      <c r="P556" s="1477"/>
      <c r="Q556" s="1477"/>
      <c r="R556" s="1480" t="s">
        <v>857</v>
      </c>
      <c r="S556" s="1477"/>
      <c r="T556" s="1480" t="str">
        <f>IF(Q$555="Yes",2,"")</f>
        <v/>
      </c>
      <c r="U556" s="1477"/>
      <c r="V556" s="1477"/>
      <c r="W556" s="1477"/>
      <c r="X556" s="1477"/>
      <c r="Y556" s="1477"/>
      <c r="Z556" s="1477"/>
    </row>
    <row r="557" spans="1:26"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80" t="s">
        <v>2064</v>
      </c>
      <c r="G557" s="1480" t="str">
        <f>IF(T557&lt;&gt;"","E","")</f>
        <v/>
      </c>
      <c r="H557" s="1480" t="s">
        <v>2063</v>
      </c>
      <c r="I557" s="1427" t="str">
        <f t="shared" si="47"/>
        <v/>
      </c>
      <c r="J557" s="1480" t="str">
        <f t="shared" si="56"/>
        <v/>
      </c>
      <c r="K557" s="1480" t="str">
        <f t="shared" si="48"/>
        <v/>
      </c>
      <c r="L557" s="906" t="s">
        <v>1396</v>
      </c>
      <c r="M557" s="1480">
        <v>540</v>
      </c>
      <c r="N557" s="1480"/>
      <c r="O557" s="1477">
        <f>'Configurable Tab'!I4</f>
        <v>30</v>
      </c>
      <c r="P557" s="1477"/>
      <c r="Q557" s="1477"/>
      <c r="R557" s="1480" t="s">
        <v>857</v>
      </c>
      <c r="S557" s="1477"/>
      <c r="T557" s="1480" t="str">
        <f t="shared" ref="T557:T568" si="57">IF(Q$555="Yes",2,"")</f>
        <v/>
      </c>
      <c r="U557" s="1477"/>
      <c r="V557" s="1477"/>
      <c r="W557" s="1477"/>
      <c r="X557" s="1477"/>
      <c r="Y557" s="1477"/>
      <c r="Z557" s="1477"/>
    </row>
    <row r="558" spans="1:26" x14ac:dyDescent="0.25">
      <c r="A558" s="931" t="s">
        <v>1397</v>
      </c>
      <c r="B558" s="906" t="str">
        <f t="shared" ref="B558:B563" ca="1" si="58">_xlfn.CONCAT(IFERROR(SUBSTITUTE(ADDRESS(1,MATCH(A558,INDIRECT("'"&amp;E558&amp;"'"&amp;"!A" &amp; $O$555+2 &amp; ":Z" &amp; $O$555+2),0),4),1,""),""),$O$555+2)</f>
        <v>J19</v>
      </c>
      <c r="C558" s="906" t="str">
        <f t="shared" ref="C558:C563" ca="1" si="59">_xlfn.CONCAT(IFERROR(SUBSTITUTE(ADDRESS(1,MATCH(A558,INDIRECT("'"&amp;E558&amp;"'"&amp;"!A" &amp; $O$555+2 &amp; ":Z" &amp; $O$555+2),0),4),1,""),""),$O$555+3)</f>
        <v>J20</v>
      </c>
      <c r="D558" s="906" t="s">
        <v>1365</v>
      </c>
      <c r="E558" s="906" t="s">
        <v>1535</v>
      </c>
      <c r="F558" s="1480" t="s">
        <v>2065</v>
      </c>
      <c r="G558" s="1480" t="str">
        <f>IF(T558&lt;&gt;"","I","")</f>
        <v/>
      </c>
      <c r="H558" s="1480" t="s">
        <v>2063</v>
      </c>
      <c r="I558" s="1427" t="str">
        <f t="shared" si="47"/>
        <v/>
      </c>
      <c r="J558" s="1480" t="str">
        <f t="shared" si="56"/>
        <v/>
      </c>
      <c r="K558" s="1480" t="str">
        <f t="shared" si="48"/>
        <v/>
      </c>
      <c r="L558" s="906" t="s">
        <v>1397</v>
      </c>
      <c r="M558" s="1480">
        <v>541</v>
      </c>
      <c r="N558" s="1480"/>
      <c r="O558" s="1477" t="s">
        <v>1652</v>
      </c>
      <c r="P558" s="1477"/>
      <c r="Q558" s="1477"/>
      <c r="R558" s="1480" t="s">
        <v>857</v>
      </c>
      <c r="S558" s="1477"/>
      <c r="T558" s="1480" t="str">
        <f t="shared" si="57"/>
        <v/>
      </c>
      <c r="U558" s="1477"/>
      <c r="V558" s="1477"/>
      <c r="W558" s="1477"/>
      <c r="X558" s="1477"/>
      <c r="Y558" s="1477"/>
      <c r="Z558" s="1477"/>
    </row>
    <row r="559" spans="1:26" x14ac:dyDescent="0.25">
      <c r="A559" s="931" t="s">
        <v>1413</v>
      </c>
      <c r="B559" s="906" t="str">
        <f t="shared" ca="1" si="58"/>
        <v>L19</v>
      </c>
      <c r="C559" s="906" t="str">
        <f t="shared" ca="1" si="59"/>
        <v>L20</v>
      </c>
      <c r="D559" s="906" t="s">
        <v>1365</v>
      </c>
      <c r="E559" s="906" t="s">
        <v>1535</v>
      </c>
      <c r="F559" s="1480" t="s">
        <v>2066</v>
      </c>
      <c r="G559" s="1480" t="str">
        <f>IF(T559&lt;&gt;"","H","")</f>
        <v/>
      </c>
      <c r="H559" s="1480" t="s">
        <v>2063</v>
      </c>
      <c r="I559" s="1427" t="str">
        <f t="shared" si="47"/>
        <v/>
      </c>
      <c r="J559" s="1480" t="str">
        <f t="shared" si="56"/>
        <v/>
      </c>
      <c r="K559" s="1480" t="str">
        <f t="shared" si="48"/>
        <v/>
      </c>
      <c r="L559" s="906" t="s">
        <v>1413</v>
      </c>
      <c r="M559" s="1480">
        <v>542</v>
      </c>
      <c r="N559" s="1480"/>
      <c r="O559" s="1477"/>
      <c r="P559" s="1477"/>
      <c r="Q559" s="1477"/>
      <c r="R559" s="1480" t="s">
        <v>857</v>
      </c>
      <c r="S559" s="1477"/>
      <c r="T559" s="1480" t="str">
        <f t="shared" si="57"/>
        <v/>
      </c>
      <c r="U559" s="1477"/>
      <c r="V559" s="1477"/>
      <c r="W559" s="1477"/>
      <c r="X559" s="1477"/>
      <c r="Y559" s="1477"/>
      <c r="Z559" s="1477"/>
    </row>
    <row r="560" spans="1:26" x14ac:dyDescent="0.25">
      <c r="A560" s="931" t="s">
        <v>1398</v>
      </c>
      <c r="B560" s="906" t="str">
        <f t="shared" ca="1" si="58"/>
        <v>N19</v>
      </c>
      <c r="C560" s="906" t="str">
        <f t="shared" ca="1" si="59"/>
        <v>N20</v>
      </c>
      <c r="D560" s="906" t="s">
        <v>1365</v>
      </c>
      <c r="E560" s="906" t="s">
        <v>1535</v>
      </c>
      <c r="F560" s="1480" t="s">
        <v>1398</v>
      </c>
      <c r="G560" s="1480" t="str">
        <f>IF(T560&lt;&gt;"",IF(Q558="Credit Memo","J",IF(Q558="Check","K","")),"")</f>
        <v/>
      </c>
      <c r="H560" s="1480" t="s">
        <v>2063</v>
      </c>
      <c r="I560" s="1427" t="str">
        <f t="shared" si="47"/>
        <v/>
      </c>
      <c r="J560" s="1480" t="str">
        <f t="shared" si="56"/>
        <v/>
      </c>
      <c r="K560" s="1480" t="str">
        <f t="shared" si="48"/>
        <v/>
      </c>
      <c r="L560" s="906" t="s">
        <v>1398</v>
      </c>
      <c r="M560" s="1480">
        <v>543</v>
      </c>
      <c r="N560" s="1480"/>
      <c r="O560" s="1477"/>
      <c r="P560" s="1477"/>
      <c r="Q560" s="1477"/>
      <c r="R560" s="1480" t="s">
        <v>857</v>
      </c>
      <c r="S560" s="1477"/>
      <c r="T560" s="1480" t="str">
        <f t="shared" si="57"/>
        <v/>
      </c>
      <c r="U560" s="1477"/>
      <c r="V560" s="1477"/>
      <c r="W560" s="1477"/>
      <c r="X560" s="1477"/>
      <c r="Y560" s="1477"/>
      <c r="Z560" s="1477"/>
    </row>
    <row r="561" spans="1:26" x14ac:dyDescent="0.25">
      <c r="A561" s="931" t="s">
        <v>1505</v>
      </c>
      <c r="B561" s="906" t="str">
        <f t="shared" ca="1" si="58"/>
        <v>P19</v>
      </c>
      <c r="C561" s="906" t="str">
        <f t="shared" ca="1" si="59"/>
        <v>P20</v>
      </c>
      <c r="D561" s="906" t="s">
        <v>1365</v>
      </c>
      <c r="E561" s="906" t="s">
        <v>1535</v>
      </c>
      <c r="F561" s="1480" t="s">
        <v>2067</v>
      </c>
      <c r="G561" s="1480" t="str">
        <f>IF(T561&lt;&gt;"","F","")</f>
        <v/>
      </c>
      <c r="H561" s="1480" t="s">
        <v>2063</v>
      </c>
      <c r="I561" s="1427" t="str">
        <f t="shared" si="47"/>
        <v/>
      </c>
      <c r="J561" s="1480" t="str">
        <f t="shared" si="56"/>
        <v/>
      </c>
      <c r="K561" s="1480" t="str">
        <f t="shared" si="48"/>
        <v/>
      </c>
      <c r="L561" s="906" t="s">
        <v>1505</v>
      </c>
      <c r="M561" s="1480">
        <v>544</v>
      </c>
      <c r="N561" s="1480"/>
      <c r="O561" s="1477"/>
      <c r="P561" s="1477"/>
      <c r="Q561" s="1477"/>
      <c r="R561" s="1480" t="s">
        <v>857</v>
      </c>
      <c r="S561" s="1477"/>
      <c r="T561" s="1480" t="str">
        <f t="shared" si="57"/>
        <v/>
      </c>
      <c r="U561" s="1477"/>
      <c r="V561" s="1477"/>
      <c r="W561" s="1477"/>
      <c r="X561" s="1477"/>
      <c r="Y561" s="1477"/>
      <c r="Z561" s="1477"/>
    </row>
    <row r="562" spans="1:26" x14ac:dyDescent="0.25">
      <c r="A562" s="931" t="s">
        <v>1506</v>
      </c>
      <c r="B562" s="906" t="str">
        <f t="shared" ca="1" si="58"/>
        <v>R19</v>
      </c>
      <c r="C562" s="906" t="str">
        <f t="shared" ca="1" si="59"/>
        <v>R20</v>
      </c>
      <c r="D562" s="906" t="s">
        <v>1365</v>
      </c>
      <c r="E562" s="906" t="s">
        <v>1535</v>
      </c>
      <c r="F562" s="1480" t="s">
        <v>2068</v>
      </c>
      <c r="G562" s="1480" t="str">
        <f>IF(T562&lt;&gt;"","G","")</f>
        <v/>
      </c>
      <c r="H562" s="1480" t="s">
        <v>2063</v>
      </c>
      <c r="I562" s="1427" t="str">
        <f t="shared" si="47"/>
        <v/>
      </c>
      <c r="J562" s="1480" t="str">
        <f t="shared" si="56"/>
        <v/>
      </c>
      <c r="K562" s="1480" t="str">
        <f t="shared" si="48"/>
        <v/>
      </c>
      <c r="L562" s="906" t="s">
        <v>1506</v>
      </c>
      <c r="M562" s="1480">
        <v>545</v>
      </c>
      <c r="N562" s="1480"/>
      <c r="O562" s="1477"/>
      <c r="P562" s="1477"/>
      <c r="Q562" s="1477"/>
      <c r="R562" s="1480" t="s">
        <v>857</v>
      </c>
      <c r="S562" s="1477"/>
      <c r="T562" s="1480" t="str">
        <f t="shared" si="57"/>
        <v/>
      </c>
      <c r="U562" s="1477"/>
      <c r="V562" s="1477"/>
      <c r="W562" s="1477"/>
      <c r="X562" s="1477"/>
      <c r="Y562" s="1477"/>
      <c r="Z562" s="1477"/>
    </row>
    <row r="563" spans="1:26" x14ac:dyDescent="0.25">
      <c r="A563" s="931" t="s">
        <v>1507</v>
      </c>
      <c r="B563" s="906" t="str">
        <f t="shared" ca="1" si="58"/>
        <v>T19</v>
      </c>
      <c r="C563" s="906" t="str">
        <f t="shared" ca="1" si="59"/>
        <v>T20</v>
      </c>
      <c r="D563" s="906" t="s">
        <v>1365</v>
      </c>
      <c r="E563" s="906" t="s">
        <v>1535</v>
      </c>
      <c r="F563" s="923" t="s">
        <v>1507</v>
      </c>
      <c r="G563" s="1480" t="str">
        <f>IF(T563&lt;&gt;"","AW","")</f>
        <v/>
      </c>
      <c r="H563" s="1480" t="s">
        <v>2063</v>
      </c>
      <c r="I563" s="1427" t="str">
        <f t="shared" si="47"/>
        <v/>
      </c>
      <c r="J563" s="1480" t="str">
        <f t="shared" si="56"/>
        <v/>
      </c>
      <c r="K563" s="1480" t="str">
        <f t="shared" si="48"/>
        <v/>
      </c>
      <c r="L563" s="906" t="s">
        <v>1507</v>
      </c>
      <c r="M563" s="1480">
        <v>546</v>
      </c>
      <c r="N563" s="1480"/>
      <c r="O563" s="1477"/>
      <c r="P563" s="1477"/>
      <c r="Q563" s="1477"/>
      <c r="R563" s="1480" t="s">
        <v>857</v>
      </c>
      <c r="S563" s="1477"/>
      <c r="T563" s="1480" t="str">
        <f t="shared" si="57"/>
        <v/>
      </c>
      <c r="U563" s="1477"/>
      <c r="V563" s="1477"/>
      <c r="W563" s="1477"/>
      <c r="X563" s="1477"/>
      <c r="Y563" s="1477"/>
      <c r="Z563" s="1477"/>
    </row>
    <row r="564" spans="1:26"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80" t="s">
        <v>1401</v>
      </c>
      <c r="G564" s="1480" t="str">
        <f>IF(T564&lt;&gt;"","C","")</f>
        <v/>
      </c>
      <c r="H564" s="1480" t="s">
        <v>2063</v>
      </c>
      <c r="I564" s="1427" t="str">
        <f t="shared" si="47"/>
        <v/>
      </c>
      <c r="J564" s="1480"/>
      <c r="K564" s="1480" t="str">
        <f t="shared" si="48"/>
        <v/>
      </c>
      <c r="L564" s="906" t="s">
        <v>1401</v>
      </c>
      <c r="M564" s="1480">
        <v>547</v>
      </c>
      <c r="N564" s="1480"/>
      <c r="O564" s="1477"/>
      <c r="P564" s="1477"/>
      <c r="Q564" s="1477"/>
      <c r="R564" s="1480" t="s">
        <v>857</v>
      </c>
      <c r="S564" s="1477"/>
      <c r="T564" s="1480" t="str">
        <f t="shared" si="57"/>
        <v/>
      </c>
      <c r="U564" s="1477"/>
      <c r="V564" s="1477"/>
      <c r="W564" s="1477"/>
      <c r="X564" s="1477"/>
      <c r="Y564" s="1477"/>
      <c r="Z564" s="1477"/>
    </row>
    <row r="565" spans="1:26"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80" t="s">
        <v>1402</v>
      </c>
      <c r="G565" s="1480" t="str">
        <f>IF(T565&lt;&gt;"","D","")</f>
        <v/>
      </c>
      <c r="H565" s="1480" t="s">
        <v>2063</v>
      </c>
      <c r="I565" s="1427" t="str">
        <f t="shared" si="47"/>
        <v/>
      </c>
      <c r="J565" s="1480"/>
      <c r="K565" s="1480" t="str">
        <f t="shared" si="48"/>
        <v/>
      </c>
      <c r="L565" s="906" t="s">
        <v>1402</v>
      </c>
      <c r="M565" s="1480">
        <v>548</v>
      </c>
      <c r="N565" s="1480"/>
      <c r="O565" s="1477"/>
      <c r="P565" s="1477"/>
      <c r="Q565" s="1477"/>
      <c r="R565" s="1480" t="s">
        <v>857</v>
      </c>
      <c r="S565" s="1477"/>
      <c r="T565" s="1480" t="str">
        <f t="shared" si="57"/>
        <v/>
      </c>
      <c r="U565" s="1477"/>
      <c r="V565" s="1477"/>
      <c r="W565" s="1477"/>
      <c r="X565" s="1477"/>
      <c r="Y565" s="1477"/>
      <c r="Z565" s="1477"/>
    </row>
    <row r="566" spans="1:26"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80" t="s">
        <v>1514</v>
      </c>
      <c r="G566" s="1480" t="str">
        <f>IF(T566&lt;&gt;"","AN","")</f>
        <v/>
      </c>
      <c r="H566" s="1480" t="s">
        <v>2063</v>
      </c>
      <c r="I566" s="1427" t="str">
        <f t="shared" si="47"/>
        <v/>
      </c>
      <c r="J566" s="1480" t="str">
        <f t="shared" si="56"/>
        <v/>
      </c>
      <c r="K566" s="1480" t="str">
        <f t="shared" si="48"/>
        <v/>
      </c>
      <c r="L566" s="906" t="s">
        <v>1514</v>
      </c>
      <c r="M566" s="1480">
        <v>549</v>
      </c>
      <c r="N566" s="1480"/>
      <c r="O566" s="1477"/>
      <c r="P566" s="1484" t="str" cm="1">
        <f t="array" aca="1" ref="P566" ca="1">_xlfn.CONCAT("F",RIGHT(B566, LEN(B566) - MAX(IF(ISNUMBER(MID(B566, ROW(INDIRECT("1:"&amp;LEN(B566))), 1) *1)=FALSE, ROW(INDIRECT("1:"&amp;LEN(B566))), 0))))</f>
        <v>F27</v>
      </c>
      <c r="Q566" s="1480" t="str" cm="1">
        <f t="array" aca="1" ref="Q566" ca="1">_xlfn.CONCAT("E",RIGHT(C566, LEN(C566) - MAX(IF(ISNUMBER(MID(C566, ROW(INDIRECT("1:"&amp;LEN(C566))), 1) *1)=FALSE, ROW(INDIRECT("1:"&amp;LEN(C566))), 0))))</f>
        <v>E27</v>
      </c>
      <c r="R566" s="1480" t="s">
        <v>857</v>
      </c>
      <c r="S566" s="1477"/>
      <c r="T566" s="1480" t="str">
        <f t="shared" si="57"/>
        <v/>
      </c>
      <c r="U566" s="1477"/>
      <c r="V566" s="1477"/>
      <c r="W566" s="1477"/>
      <c r="X566" s="1477"/>
      <c r="Y566" s="1477"/>
      <c r="Z566" s="1477"/>
    </row>
    <row r="567" spans="1:26"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80" t="s">
        <v>1511</v>
      </c>
      <c r="G567" s="1480" t="str">
        <f>IF(T567&lt;&gt;"","AL","")</f>
        <v/>
      </c>
      <c r="H567" s="1480" t="s">
        <v>2063</v>
      </c>
      <c r="I567" s="1427" t="str">
        <f t="shared" si="47"/>
        <v/>
      </c>
      <c r="J567" s="1480" t="str">
        <f t="shared" si="56"/>
        <v/>
      </c>
      <c r="K567" s="1480" t="str">
        <f t="shared" si="48"/>
        <v/>
      </c>
      <c r="L567" s="906" t="s">
        <v>1511</v>
      </c>
      <c r="M567" s="1480">
        <v>550</v>
      </c>
      <c r="N567" s="1480"/>
      <c r="O567" s="1477"/>
      <c r="P567" s="1477"/>
      <c r="Q567" s="1477"/>
      <c r="R567" s="1480" t="s">
        <v>857</v>
      </c>
      <c r="S567" s="1477"/>
      <c r="T567" s="1480" t="str">
        <f t="shared" si="57"/>
        <v/>
      </c>
      <c r="U567" s="1477"/>
      <c r="V567" s="1477"/>
      <c r="W567" s="1477"/>
      <c r="X567" s="1477"/>
      <c r="Y567" s="1477"/>
      <c r="Z567" s="1477"/>
    </row>
    <row r="568" spans="1:26"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80" t="s">
        <v>1985</v>
      </c>
      <c r="G568" s="1480" t="str">
        <f>IF(T568&lt;&gt;"","O","")</f>
        <v/>
      </c>
      <c r="H568" s="1480" t="s">
        <v>2063</v>
      </c>
      <c r="I568" s="1427" t="str">
        <f t="shared" si="47"/>
        <v/>
      </c>
      <c r="J568" s="1480"/>
      <c r="K568" s="1480" t="str">
        <f t="shared" si="48"/>
        <v/>
      </c>
      <c r="L568" s="906" t="s">
        <v>1405</v>
      </c>
      <c r="M568" s="1480">
        <v>551</v>
      </c>
      <c r="N568" s="1480"/>
      <c r="O568" s="1477"/>
      <c r="P568" s="1477"/>
      <c r="Q568" s="1477"/>
      <c r="R568" s="1480" t="s">
        <v>857</v>
      </c>
      <c r="S568" s="1477"/>
      <c r="T568" s="1480" t="str">
        <f t="shared" si="57"/>
        <v/>
      </c>
      <c r="U568" s="1477"/>
      <c r="V568" s="1477"/>
      <c r="W568" s="1477"/>
      <c r="X568" s="1477"/>
      <c r="Y568" s="1477"/>
      <c r="Z568" s="1477"/>
    </row>
    <row r="569" spans="1:26"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80" t="s">
        <v>1510</v>
      </c>
      <c r="G569" s="1480" t="str">
        <f>IF(T569&lt;&gt;"","A","")</f>
        <v>A</v>
      </c>
      <c r="H569" s="1480" t="s">
        <v>2063</v>
      </c>
      <c r="I569" s="1427" t="str">
        <f t="shared" si="47"/>
        <v/>
      </c>
      <c r="J569" s="1480"/>
      <c r="K569" s="1480" t="str">
        <f t="shared" si="48"/>
        <v/>
      </c>
      <c r="L569" s="906" t="s">
        <v>1510</v>
      </c>
      <c r="M569" s="1480">
        <v>552</v>
      </c>
      <c r="N569" s="1480"/>
      <c r="O569" s="1477" t="s">
        <v>728</v>
      </c>
      <c r="P569" s="1477"/>
      <c r="Q569" s="1477"/>
      <c r="R569" s="1480" t="s">
        <v>857</v>
      </c>
      <c r="S569" s="1477"/>
      <c r="T569" s="1480">
        <f t="shared" ref="T569:T586" si="60">IF(Q$570="Yes",3,"")</f>
        <v>3</v>
      </c>
      <c r="U569" s="1477"/>
      <c r="V569" s="1477"/>
      <c r="W569" s="1477"/>
      <c r="X569" s="1477"/>
      <c r="Y569" s="1477"/>
      <c r="Z569" s="1477"/>
    </row>
    <row r="570" spans="1:26"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80"/>
      <c r="G570" s="1480"/>
      <c r="H570" s="1480"/>
      <c r="I570" s="1427" t="str">
        <f t="shared" si="47"/>
        <v>Offer This Incentive?</v>
      </c>
      <c r="J570" s="1480" t="str">
        <f t="shared" ref="J570:J587" si="61">IF(M570&lt;&gt;"",IF($Q$570="Yes",Q$1&amp;M570,""))</f>
        <v>F553</v>
      </c>
      <c r="K570" s="1480" t="str">
        <f t="shared" si="48"/>
        <v>Incentives Worksheet</v>
      </c>
      <c r="L570" s="906" t="s">
        <v>1724</v>
      </c>
      <c r="M570" s="1480">
        <v>553</v>
      </c>
      <c r="N570" s="1480"/>
      <c r="O570" s="1477">
        <f>'Configurable Tab'!H5</f>
        <v>31</v>
      </c>
      <c r="P570" s="1477"/>
      <c r="Q570" s="1477" t="s">
        <v>649</v>
      </c>
      <c r="R570" s="1480" t="s">
        <v>857</v>
      </c>
      <c r="S570" s="1477"/>
      <c r="T570" s="1480">
        <f t="shared" si="60"/>
        <v>3</v>
      </c>
      <c r="U570" s="1477"/>
      <c r="V570" s="1477"/>
      <c r="W570" s="1477"/>
      <c r="X570" s="1477"/>
      <c r="Y570" s="1477"/>
      <c r="Z570" s="1477"/>
    </row>
    <row r="571" spans="1:26"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80" t="s">
        <v>1399</v>
      </c>
      <c r="G571" s="1480" t="str">
        <f>IF(T571&lt;&gt;"","B","")</f>
        <v>B</v>
      </c>
      <c r="H571" s="1480" t="s">
        <v>2063</v>
      </c>
      <c r="I571" s="1427" t="str">
        <f t="shared" si="47"/>
        <v/>
      </c>
      <c r="J571" s="1480"/>
      <c r="K571" s="1480" t="str">
        <f t="shared" si="48"/>
        <v/>
      </c>
      <c r="L571" s="906" t="s">
        <v>1399</v>
      </c>
      <c r="M571" s="1480">
        <v>554</v>
      </c>
      <c r="N571" s="1480"/>
      <c r="O571" s="1477" t="s">
        <v>729</v>
      </c>
      <c r="P571" s="1477"/>
      <c r="Q571" s="1477"/>
      <c r="R571" s="1480" t="s">
        <v>857</v>
      </c>
      <c r="S571" s="1477"/>
      <c r="T571" s="1480">
        <f t="shared" si="60"/>
        <v>3</v>
      </c>
      <c r="U571" s="1477"/>
      <c r="V571" s="1477"/>
      <c r="W571" s="1477"/>
      <c r="X571" s="1477"/>
      <c r="Y571" s="1477"/>
      <c r="Z571" s="1477"/>
    </row>
    <row r="572" spans="1:26"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80" t="s">
        <v>2064</v>
      </c>
      <c r="G572" s="1480" t="str">
        <f>IF(T572&lt;&gt;"","E","")</f>
        <v>E</v>
      </c>
      <c r="H572" s="1480" t="s">
        <v>2063</v>
      </c>
      <c r="I572" s="1427" t="str">
        <f t="shared" si="47"/>
        <v>Incentive Period</v>
      </c>
      <c r="J572" s="1480" t="str">
        <f t="shared" si="61"/>
        <v>F555</v>
      </c>
      <c r="K572" s="1480" t="str">
        <f t="shared" si="48"/>
        <v>Incentives Worksheet</v>
      </c>
      <c r="L572" s="906" t="s">
        <v>1396</v>
      </c>
      <c r="M572" s="1480">
        <v>555</v>
      </c>
      <c r="N572" s="1480"/>
      <c r="O572" s="1477">
        <f>'Configurable Tab'!I5</f>
        <v>44</v>
      </c>
      <c r="P572" s="1477"/>
      <c r="Q572" s="1477"/>
      <c r="R572" s="1480" t="s">
        <v>857</v>
      </c>
      <c r="S572" s="1477"/>
      <c r="T572" s="1480">
        <f t="shared" si="60"/>
        <v>3</v>
      </c>
      <c r="U572" s="1477"/>
      <c r="V572" s="1477"/>
      <c r="W572" s="1477"/>
      <c r="X572" s="1477"/>
      <c r="Y572" s="1477"/>
      <c r="Z572" s="1477"/>
    </row>
    <row r="573" spans="1:26" x14ac:dyDescent="0.25">
      <c r="A573" s="928" t="s">
        <v>1397</v>
      </c>
      <c r="B573" s="906" t="str">
        <f t="shared" ref="B573:B578" ca="1" si="62">_xlfn.CONCAT(IFERROR(SUBSTITUTE(ADDRESS(1,MATCH(A573,INDIRECT("'"&amp;E573&amp;"'"&amp;"!A" &amp; $O$570+2 &amp; ":Z" &amp; $O$570+2),0),4),1,""),""),$O$570+2)</f>
        <v>J33</v>
      </c>
      <c r="C573" s="906" t="str">
        <f t="shared" ref="C573:C578" ca="1" si="63">_xlfn.CONCAT(IFERROR(SUBSTITUTE(ADDRESS(1,MATCH(A573,INDIRECT("'"&amp;E573&amp;"'"&amp;"!A" &amp; $O$570+2 &amp; ":Z" &amp; $O$570+2),0),4),1,""),""),$O$570+3)</f>
        <v>J34</v>
      </c>
      <c r="D573" s="906" t="s">
        <v>1365</v>
      </c>
      <c r="E573" s="906" t="s">
        <v>1535</v>
      </c>
      <c r="F573" s="1480" t="s">
        <v>2065</v>
      </c>
      <c r="G573" s="1480" t="str">
        <f>IF(T573&lt;&gt;"","I","")</f>
        <v>I</v>
      </c>
      <c r="H573" s="1480" t="s">
        <v>2063</v>
      </c>
      <c r="I573" s="1427" t="str">
        <f t="shared" si="47"/>
        <v>Payment Method</v>
      </c>
      <c r="J573" s="1480" t="str">
        <f t="shared" si="61"/>
        <v>F556</v>
      </c>
      <c r="K573" s="1480" t="str">
        <f t="shared" si="48"/>
        <v>Incentives Worksheet</v>
      </c>
      <c r="L573" s="906" t="s">
        <v>1397</v>
      </c>
      <c r="M573" s="1480">
        <v>556</v>
      </c>
      <c r="N573" s="1480"/>
      <c r="O573" s="1226" t="s">
        <v>1653</v>
      </c>
      <c r="P573" s="1477"/>
      <c r="Q573" s="1477" t="s">
        <v>484</v>
      </c>
      <c r="R573" s="1480" t="s">
        <v>857</v>
      </c>
      <c r="S573" s="1477"/>
      <c r="T573" s="1480">
        <f t="shared" si="60"/>
        <v>3</v>
      </c>
      <c r="U573" s="1477"/>
      <c r="V573" s="1477"/>
      <c r="W573" s="1477"/>
      <c r="X573" s="1477"/>
      <c r="Y573" s="1477"/>
      <c r="Z573" s="1477"/>
    </row>
    <row r="574" spans="1:26" x14ac:dyDescent="0.25">
      <c r="A574" s="928" t="s">
        <v>1413</v>
      </c>
      <c r="B574" s="906" t="str">
        <f t="shared" ca="1" si="62"/>
        <v>L33</v>
      </c>
      <c r="C574" s="906" t="str">
        <f t="shared" ca="1" si="63"/>
        <v>L34</v>
      </c>
      <c r="D574" s="906" t="s">
        <v>1365</v>
      </c>
      <c r="E574" s="906" t="s">
        <v>1535</v>
      </c>
      <c r="F574" s="1480" t="s">
        <v>2066</v>
      </c>
      <c r="G574" s="1480" t="str">
        <f>IF(T574&lt;&gt;"","H","")</f>
        <v>H</v>
      </c>
      <c r="H574" s="1480" t="s">
        <v>2063</v>
      </c>
      <c r="I574" s="1427" t="str">
        <f t="shared" si="47"/>
        <v>Paid To</v>
      </c>
      <c r="J574" s="1480" t="str">
        <f t="shared" si="61"/>
        <v>F557</v>
      </c>
      <c r="K574" s="1480" t="str">
        <f t="shared" si="48"/>
        <v>Incentives Worksheet</v>
      </c>
      <c r="L574" s="906" t="s">
        <v>1413</v>
      </c>
      <c r="M574" s="1480">
        <v>557</v>
      </c>
      <c r="N574" s="1480"/>
      <c r="O574" s="1477"/>
      <c r="P574" s="1477"/>
      <c r="Q574" s="1477"/>
      <c r="R574" s="1480" t="s">
        <v>857</v>
      </c>
      <c r="S574" s="1477"/>
      <c r="T574" s="1480">
        <f t="shared" si="60"/>
        <v>3</v>
      </c>
      <c r="U574" s="1477"/>
      <c r="V574" s="1477"/>
      <c r="W574" s="1477"/>
      <c r="X574" s="1477"/>
      <c r="Y574" s="1477"/>
      <c r="Z574" s="1477"/>
    </row>
    <row r="575" spans="1:26" x14ac:dyDescent="0.25">
      <c r="A575" s="928" t="s">
        <v>1398</v>
      </c>
      <c r="B575" s="906" t="str">
        <f t="shared" ca="1" si="62"/>
        <v>N33</v>
      </c>
      <c r="C575" s="906" t="str">
        <f t="shared" ca="1" si="63"/>
        <v>N34</v>
      </c>
      <c r="D575" s="906" t="s">
        <v>1365</v>
      </c>
      <c r="E575" s="906" t="s">
        <v>1535</v>
      </c>
      <c r="F575" s="1480" t="s">
        <v>1398</v>
      </c>
      <c r="G575" s="1480" t="str">
        <f>IF(T575&lt;&gt;"",IF(Q573="Credit Memo","J",IF(Q573="Check","K","")),"")</f>
        <v>J</v>
      </c>
      <c r="H575" s="1480" t="s">
        <v>2063</v>
      </c>
      <c r="I575" s="1427" t="str">
        <f t="shared" si="47"/>
        <v>AP/AR Vendor Number</v>
      </c>
      <c r="J575" s="1480" t="str">
        <f t="shared" si="61"/>
        <v>F558</v>
      </c>
      <c r="K575" s="1480" t="str">
        <f t="shared" si="48"/>
        <v>Incentives Worksheet</v>
      </c>
      <c r="L575" s="906" t="s">
        <v>1398</v>
      </c>
      <c r="M575" s="1480">
        <v>558</v>
      </c>
      <c r="N575" s="1480"/>
      <c r="O575" s="1477"/>
      <c r="P575" s="1477"/>
      <c r="Q575" s="1477"/>
      <c r="R575" s="1480" t="s">
        <v>857</v>
      </c>
      <c r="S575" s="1477"/>
      <c r="T575" s="1480">
        <f t="shared" si="60"/>
        <v>3</v>
      </c>
      <c r="U575" s="1477"/>
      <c r="V575" s="1477"/>
      <c r="W575" s="1477"/>
      <c r="X575" s="1477"/>
      <c r="Y575" s="1477"/>
      <c r="Z575" s="1477"/>
    </row>
    <row r="576" spans="1:26" x14ac:dyDescent="0.25">
      <c r="A576" s="928" t="s">
        <v>1505</v>
      </c>
      <c r="B576" s="906" t="str">
        <f t="shared" ca="1" si="62"/>
        <v>P33</v>
      </c>
      <c r="C576" s="906" t="str">
        <f t="shared" ca="1" si="63"/>
        <v>P34</v>
      </c>
      <c r="D576" s="906" t="s">
        <v>1365</v>
      </c>
      <c r="E576" s="906" t="s">
        <v>1535</v>
      </c>
      <c r="F576" s="1480" t="s">
        <v>2067</v>
      </c>
      <c r="G576" s="1480" t="str">
        <f>IF(T576&lt;&gt;"","F","")</f>
        <v>F</v>
      </c>
      <c r="H576" s="1480" t="s">
        <v>2063</v>
      </c>
      <c r="I576" s="1427" t="str">
        <f t="shared" si="47"/>
        <v>Qualifying Cycle</v>
      </c>
      <c r="J576" s="1480" t="str">
        <f t="shared" si="61"/>
        <v>F559</v>
      </c>
      <c r="K576" s="1480" t="str">
        <f t="shared" si="48"/>
        <v>Incentives Worksheet</v>
      </c>
      <c r="L576" s="906" t="s">
        <v>1505</v>
      </c>
      <c r="M576" s="1480">
        <v>559</v>
      </c>
      <c r="N576" s="1480"/>
      <c r="O576" s="1477"/>
      <c r="P576" s="1477"/>
      <c r="Q576" s="1477"/>
      <c r="R576" s="1480" t="s">
        <v>857</v>
      </c>
      <c r="S576" s="1477"/>
      <c r="T576" s="1480">
        <f t="shared" si="60"/>
        <v>3</v>
      </c>
      <c r="U576" s="1477"/>
      <c r="V576" s="1477"/>
      <c r="W576" s="1477"/>
      <c r="X576" s="1477"/>
      <c r="Y576" s="1477"/>
      <c r="Z576" s="1477"/>
    </row>
    <row r="577" spans="1:26" x14ac:dyDescent="0.25">
      <c r="A577" s="928" t="s">
        <v>1506</v>
      </c>
      <c r="B577" s="906" t="str">
        <f t="shared" ca="1" si="62"/>
        <v>R33</v>
      </c>
      <c r="C577" s="906" t="str">
        <f t="shared" ca="1" si="63"/>
        <v>R34</v>
      </c>
      <c r="D577" s="906" t="s">
        <v>1365</v>
      </c>
      <c r="E577" s="906" t="s">
        <v>1535</v>
      </c>
      <c r="F577" s="1480" t="s">
        <v>2068</v>
      </c>
      <c r="G577" s="1480" t="str">
        <f>IF(T577&lt;&gt;"","G","")</f>
        <v>G</v>
      </c>
      <c r="H577" s="1480" t="s">
        <v>2063</v>
      </c>
      <c r="I577" s="1427" t="str">
        <f t="shared" si="47"/>
        <v>Incentive Calendar</v>
      </c>
      <c r="J577" s="1480" t="str">
        <f t="shared" si="61"/>
        <v>F560</v>
      </c>
      <c r="K577" s="1480" t="str">
        <f t="shared" si="48"/>
        <v>Incentives Worksheet</v>
      </c>
      <c r="L577" s="906" t="s">
        <v>1506</v>
      </c>
      <c r="M577" s="1480">
        <v>560</v>
      </c>
      <c r="N577" s="1480"/>
      <c r="O577" s="1477"/>
      <c r="P577" s="1477"/>
      <c r="Q577" s="1477"/>
      <c r="R577" s="1480" t="s">
        <v>857</v>
      </c>
      <c r="S577" s="1477"/>
      <c r="T577" s="1480">
        <f t="shared" si="60"/>
        <v>3</v>
      </c>
      <c r="U577" s="1477"/>
      <c r="V577" s="1477"/>
      <c r="W577" s="1477"/>
      <c r="X577" s="1477"/>
      <c r="Y577" s="1477"/>
      <c r="Z577" s="1477"/>
    </row>
    <row r="578" spans="1:26" x14ac:dyDescent="0.25">
      <c r="A578" s="928" t="s">
        <v>1507</v>
      </c>
      <c r="B578" s="906" t="str">
        <f t="shared" ca="1" si="62"/>
        <v>T33</v>
      </c>
      <c r="C578" s="906" t="str">
        <f t="shared" ca="1" si="63"/>
        <v>T34</v>
      </c>
      <c r="D578" s="906" t="s">
        <v>1365</v>
      </c>
      <c r="E578" s="906" t="s">
        <v>1535</v>
      </c>
      <c r="F578" s="923" t="s">
        <v>1507</v>
      </c>
      <c r="G578" s="1480" t="str">
        <f>IF(T578&lt;&gt;"","AW","")</f>
        <v>AW</v>
      </c>
      <c r="H578" s="1480" t="s">
        <v>2063</v>
      </c>
      <c r="I578" s="1427" t="str">
        <f t="shared" si="47"/>
        <v>Post to GL Payment Method Flag</v>
      </c>
      <c r="J578" s="1480" t="str">
        <f t="shared" si="61"/>
        <v>F561</v>
      </c>
      <c r="K578" s="1480" t="str">
        <f t="shared" si="48"/>
        <v>Incentives Worksheet</v>
      </c>
      <c r="L578" s="906" t="s">
        <v>1507</v>
      </c>
      <c r="M578" s="1480">
        <v>561</v>
      </c>
      <c r="N578" s="1480"/>
      <c r="O578" s="1477"/>
      <c r="P578" s="1477"/>
      <c r="Q578" s="1477"/>
      <c r="R578" s="1480" t="s">
        <v>857</v>
      </c>
      <c r="S578" s="1477"/>
      <c r="T578" s="1480">
        <f t="shared" si="60"/>
        <v>3</v>
      </c>
      <c r="U578" s="1477"/>
      <c r="V578" s="1477"/>
      <c r="W578" s="1477"/>
      <c r="X578" s="1477"/>
      <c r="Y578" s="1477"/>
      <c r="Z578" s="1477"/>
    </row>
    <row r="579" spans="1:26"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80" t="s">
        <v>1401</v>
      </c>
      <c r="G579" s="1480" t="str">
        <f>IF(T579&lt;&gt;"","C","")</f>
        <v>C</v>
      </c>
      <c r="H579" s="1480" t="s">
        <v>2063</v>
      </c>
      <c r="I579" s="1427" t="str">
        <f t="shared" si="47"/>
        <v/>
      </c>
      <c r="J579" s="1480"/>
      <c r="K579" s="1480" t="str">
        <f t="shared" si="48"/>
        <v/>
      </c>
      <c r="L579" s="906" t="s">
        <v>1401</v>
      </c>
      <c r="M579" s="1480">
        <v>562</v>
      </c>
      <c r="N579" s="1480"/>
      <c r="O579" s="1477"/>
      <c r="P579" s="1477"/>
      <c r="Q579" s="1477"/>
      <c r="R579" s="1480" t="s">
        <v>857</v>
      </c>
      <c r="S579" s="1477"/>
      <c r="T579" s="1480">
        <f t="shared" si="60"/>
        <v>3</v>
      </c>
      <c r="U579" s="1477"/>
      <c r="V579" s="1477"/>
      <c r="W579" s="1477"/>
      <c r="X579" s="1477"/>
      <c r="Y579" s="1477"/>
      <c r="Z579" s="1477"/>
    </row>
    <row r="580" spans="1:26"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80" t="s">
        <v>1402</v>
      </c>
      <c r="G580" s="1480" t="str">
        <f>IF(T580&lt;&gt;"","D","")</f>
        <v>D</v>
      </c>
      <c r="H580" s="1480" t="s">
        <v>2063</v>
      </c>
      <c r="I580" s="1427" t="str">
        <f t="shared" ref="I580:I643" si="64">IF(J580&lt;&gt;"",A580,"")</f>
        <v/>
      </c>
      <c r="J580" s="1480"/>
      <c r="K580" s="1480" t="str">
        <f t="shared" ref="K580:K643" si="65">IF(J580&lt;&gt;"",E580,"")</f>
        <v/>
      </c>
      <c r="L580" s="906" t="s">
        <v>1402</v>
      </c>
      <c r="M580" s="1480">
        <v>563</v>
      </c>
      <c r="N580" s="1480"/>
      <c r="O580" s="1477"/>
      <c r="P580" s="1477"/>
      <c r="Q580" s="1477"/>
      <c r="R580" s="1480" t="s">
        <v>857</v>
      </c>
      <c r="S580" s="1477"/>
      <c r="T580" s="1480">
        <f t="shared" si="60"/>
        <v>3</v>
      </c>
      <c r="U580" s="1477"/>
      <c r="V580" s="1477"/>
      <c r="W580" s="1477"/>
      <c r="X580" s="1477"/>
      <c r="Y580" s="1477"/>
      <c r="Z580" s="1477"/>
    </row>
    <row r="581" spans="1:26"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80" t="s">
        <v>1514</v>
      </c>
      <c r="G581" s="1480" t="str">
        <f>IF(T581&lt;&gt;"","AN","")</f>
        <v>AN</v>
      </c>
      <c r="H581" s="1480" t="s">
        <v>2063</v>
      </c>
      <c r="I581" s="1427" t="str">
        <f t="shared" si="64"/>
        <v>Incentive Dates Match Agreement Dates Flag</v>
      </c>
      <c r="J581" s="1480" t="str">
        <f t="shared" si="61"/>
        <v>F564</v>
      </c>
      <c r="K581" s="1480" t="str">
        <f t="shared" si="65"/>
        <v>Incentives Worksheet</v>
      </c>
      <c r="L581" s="906" t="s">
        <v>1514</v>
      </c>
      <c r="M581" s="1480">
        <v>564</v>
      </c>
      <c r="N581" s="1480"/>
      <c r="O581" s="1477"/>
      <c r="P581" s="1484" t="str" cm="1">
        <f t="array" aca="1" ref="P581" ca="1">_xlfn.CONCAT("F",RIGHT(B581, LEN(B581) - MAX(IF(ISNUMBER(MID(B581, ROW(INDIRECT("1:"&amp;LEN(B581))), 1) *1)=FALSE, ROW(INDIRECT("1:"&amp;LEN(B581))), 0))))</f>
        <v>F41</v>
      </c>
      <c r="Q581" s="1480" t="str" cm="1">
        <f t="array" aca="1" ref="Q581" ca="1">_xlfn.CONCAT("E",RIGHT(C581, LEN(C581) - MAX(IF(ISNUMBER(MID(C581, ROW(INDIRECT("1:"&amp;LEN(C581))), 1) *1)=FALSE, ROW(INDIRECT("1:"&amp;LEN(C581))), 0))))</f>
        <v>E41</v>
      </c>
      <c r="R581" s="1480" t="s">
        <v>857</v>
      </c>
      <c r="S581" s="1477"/>
      <c r="T581" s="1480">
        <f t="shared" si="60"/>
        <v>3</v>
      </c>
      <c r="U581" s="1477"/>
      <c r="V581" s="1477"/>
      <c r="W581" s="1477"/>
      <c r="X581" s="1477"/>
      <c r="Y581" s="1477"/>
      <c r="Z581" s="1477"/>
    </row>
    <row r="582" spans="1:26" x14ac:dyDescent="0.25">
      <c r="A582" s="928" t="s">
        <v>1511</v>
      </c>
      <c r="B582" s="906" t="s">
        <v>1841</v>
      </c>
      <c r="C582" s="906" t="s">
        <v>1842</v>
      </c>
      <c r="D582" s="906" t="s">
        <v>1365</v>
      </c>
      <c r="E582" s="906" t="s">
        <v>1535</v>
      </c>
      <c r="F582" s="1480" t="s">
        <v>1511</v>
      </c>
      <c r="G582" s="1480" t="str">
        <f>IF(T582&lt;&gt;"","AL","")</f>
        <v>AL</v>
      </c>
      <c r="H582" s="1480" t="s">
        <v>2063</v>
      </c>
      <c r="I582" s="1427" t="str">
        <f t="shared" si="64"/>
        <v>Include All Customers Flag</v>
      </c>
      <c r="J582" s="1480" t="str">
        <f t="shared" si="61"/>
        <v>F565</v>
      </c>
      <c r="K582" s="1480" t="str">
        <f t="shared" si="65"/>
        <v>Incentives Worksheet</v>
      </c>
      <c r="L582" s="906" t="s">
        <v>1511</v>
      </c>
      <c r="M582" s="1480">
        <v>565</v>
      </c>
      <c r="N582" s="1480"/>
      <c r="O582" s="1477"/>
      <c r="P582" s="1477"/>
      <c r="Q582" s="1477"/>
      <c r="R582" s="1480" t="s">
        <v>857</v>
      </c>
      <c r="S582" s="1477"/>
      <c r="T582" s="1480">
        <f t="shared" si="60"/>
        <v>3</v>
      </c>
      <c r="U582" s="1477"/>
      <c r="V582" s="1477"/>
      <c r="W582" s="1477"/>
      <c r="X582" s="1477"/>
      <c r="Y582" s="1477"/>
      <c r="Z582" s="1477"/>
    </row>
    <row r="583" spans="1:26" x14ac:dyDescent="0.25">
      <c r="A583" s="928" t="s">
        <v>1525</v>
      </c>
      <c r="B583" s="906" t="s">
        <v>1843</v>
      </c>
      <c r="C583" s="906" t="s">
        <v>1844</v>
      </c>
      <c r="D583" s="906" t="s">
        <v>1365</v>
      </c>
      <c r="E583" s="906" t="s">
        <v>1535</v>
      </c>
      <c r="F583" s="1480" t="s">
        <v>2069</v>
      </c>
      <c r="G583" s="1480" t="str">
        <f>IF(T583&lt;&gt;"","L","")</f>
        <v>L</v>
      </c>
      <c r="H583" s="1480" t="s">
        <v>2063</v>
      </c>
      <c r="I583" s="1427" t="str">
        <f t="shared" si="64"/>
        <v>Customer Aggregation</v>
      </c>
      <c r="J583" s="1480" t="str">
        <f t="shared" si="61"/>
        <v>F566</v>
      </c>
      <c r="K583" s="1480" t="str">
        <f t="shared" si="65"/>
        <v>Incentives Worksheet</v>
      </c>
      <c r="L583" s="906" t="s">
        <v>1525</v>
      </c>
      <c r="M583" s="1480">
        <v>566</v>
      </c>
      <c r="N583" s="1480"/>
      <c r="O583" s="1477"/>
      <c r="P583" s="1477"/>
      <c r="Q583" s="1477"/>
      <c r="R583" s="1480" t="s">
        <v>857</v>
      </c>
      <c r="S583" s="1477"/>
      <c r="T583" s="1480">
        <f t="shared" si="60"/>
        <v>3</v>
      </c>
      <c r="U583" s="1477"/>
      <c r="V583" s="1477"/>
      <c r="W583" s="1477"/>
      <c r="X583" s="1477"/>
      <c r="Y583" s="1477"/>
      <c r="Z583" s="1477"/>
    </row>
    <row r="584" spans="1:26"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80" t="str">
        <f>IF(T584&lt;&gt;"","AH","")</f>
        <v>AH</v>
      </c>
      <c r="H584" s="1480" t="s">
        <v>2063</v>
      </c>
      <c r="I584" s="1427" t="str">
        <f t="shared" si="64"/>
        <v>Minimum Units</v>
      </c>
      <c r="J584" s="1480" t="str">
        <f t="shared" si="61"/>
        <v>F567</v>
      </c>
      <c r="K584" s="1480" t="str">
        <f t="shared" si="65"/>
        <v>Incentives Worksheet</v>
      </c>
      <c r="L584" s="906" t="s">
        <v>1403</v>
      </c>
      <c r="M584" s="1480">
        <v>567</v>
      </c>
      <c r="N584" s="1480"/>
      <c r="O584" s="1477"/>
      <c r="P584" s="1477"/>
      <c r="Q584" s="1477"/>
      <c r="R584" s="1480" t="s">
        <v>857</v>
      </c>
      <c r="S584" s="1477"/>
      <c r="T584" s="1480">
        <f t="shared" si="60"/>
        <v>3</v>
      </c>
      <c r="U584" s="1477"/>
      <c r="V584" s="1477"/>
      <c r="W584" s="1477"/>
      <c r="X584" s="1477"/>
      <c r="Y584" s="1477"/>
      <c r="Z584" s="1477"/>
    </row>
    <row r="585" spans="1:26"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80"/>
      <c r="H585" s="1480"/>
      <c r="I585" s="1427" t="str">
        <f t="shared" si="64"/>
        <v/>
      </c>
      <c r="J585" s="1480"/>
      <c r="K585" s="1480" t="str">
        <f t="shared" si="65"/>
        <v/>
      </c>
      <c r="L585" s="906" t="s">
        <v>1404</v>
      </c>
      <c r="M585" s="1480">
        <v>568</v>
      </c>
      <c r="N585" s="1480"/>
      <c r="O585" s="1477"/>
      <c r="P585" s="1477"/>
      <c r="Q585" s="1477"/>
      <c r="R585" s="1480" t="s">
        <v>857</v>
      </c>
      <c r="S585" s="1477"/>
      <c r="T585" s="1480">
        <f t="shared" si="60"/>
        <v>3</v>
      </c>
      <c r="U585" s="1477"/>
      <c r="V585" s="1477"/>
      <c r="W585" s="1477"/>
      <c r="X585" s="1477"/>
      <c r="Y585" s="1477"/>
      <c r="Z585" s="1477"/>
    </row>
    <row r="586" spans="1:26"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80" t="s">
        <v>1985</v>
      </c>
      <c r="G586" s="1480" t="str">
        <f>IF(T586&lt;&gt;"","AI","")</f>
        <v>AI</v>
      </c>
      <c r="H586" s="1480" t="s">
        <v>2063</v>
      </c>
      <c r="I586" s="1427" t="str">
        <f t="shared" si="64"/>
        <v/>
      </c>
      <c r="J586" s="1480"/>
      <c r="K586" s="1480" t="str">
        <f t="shared" si="65"/>
        <v/>
      </c>
      <c r="L586" s="908" t="s">
        <v>1405</v>
      </c>
      <c r="M586" s="1480">
        <v>569</v>
      </c>
      <c r="N586" s="1480"/>
      <c r="O586" s="1477"/>
      <c r="P586" s="1477"/>
      <c r="Q586" s="1477"/>
      <c r="R586" s="1480" t="s">
        <v>857</v>
      </c>
      <c r="S586" s="1477"/>
      <c r="T586" s="1480">
        <f t="shared" si="60"/>
        <v>3</v>
      </c>
      <c r="U586" s="1477"/>
      <c r="V586" s="1477"/>
      <c r="W586" s="1477"/>
      <c r="X586" s="1477"/>
      <c r="Y586" s="1477"/>
      <c r="Z586" s="1477"/>
    </row>
    <row r="587" spans="1:26"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80" t="s">
        <v>1527</v>
      </c>
      <c r="G587" s="1480" t="str">
        <f>IF(T587&lt;&gt;"","P","")</f>
        <v>P</v>
      </c>
      <c r="H587" s="1480" t="s">
        <v>2063</v>
      </c>
      <c r="I587" s="1427" t="str">
        <f t="shared" si="64"/>
        <v>Weekly Threshold Flag</v>
      </c>
      <c r="J587" s="1480" t="str">
        <f t="shared" si="61"/>
        <v>F570</v>
      </c>
      <c r="K587" s="1480" t="str">
        <f t="shared" si="65"/>
        <v>Incentives Worksheet</v>
      </c>
      <c r="L587" s="906" t="s">
        <v>1527</v>
      </c>
      <c r="M587" s="1480">
        <v>570</v>
      </c>
      <c r="N587" s="1480"/>
      <c r="O587" s="1477"/>
      <c r="P587" s="1477"/>
      <c r="Q587" s="1477"/>
      <c r="R587" s="1480" t="s">
        <v>857</v>
      </c>
      <c r="S587" s="1477"/>
      <c r="T587" s="1480">
        <f>IF(Q$570="Yes",3,"")</f>
        <v>3</v>
      </c>
      <c r="U587" s="1477"/>
      <c r="V587" s="1477"/>
      <c r="W587" s="1477"/>
      <c r="X587" s="1477"/>
      <c r="Y587" s="1477"/>
      <c r="Z587" s="1477"/>
    </row>
    <row r="588" spans="1:26"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80" t="s">
        <v>1510</v>
      </c>
      <c r="G588" s="1480" t="str">
        <f>IF(T588&lt;&gt;"","A","")</f>
        <v/>
      </c>
      <c r="H588" s="1480" t="s">
        <v>2063</v>
      </c>
      <c r="I588" s="1427" t="str">
        <f t="shared" si="64"/>
        <v/>
      </c>
      <c r="J588" s="1480"/>
      <c r="K588" s="1480" t="str">
        <f t="shared" si="65"/>
        <v/>
      </c>
      <c r="L588" s="906" t="s">
        <v>1510</v>
      </c>
      <c r="M588" s="1480">
        <v>571</v>
      </c>
      <c r="N588" s="1480"/>
      <c r="O588" s="1477" t="s">
        <v>728</v>
      </c>
      <c r="P588" s="1477"/>
      <c r="Q588" s="1477"/>
      <c r="R588" s="1480" t="s">
        <v>857</v>
      </c>
      <c r="S588" s="1477"/>
      <c r="T588" s="1480" t="str">
        <f t="shared" ref="T588:T605" si="66">IF(Q$589="Yes",4,"")</f>
        <v/>
      </c>
      <c r="U588" s="1477"/>
      <c r="V588" s="1477"/>
      <c r="W588" s="1477"/>
      <c r="X588" s="1477"/>
      <c r="Y588" s="1477"/>
      <c r="Z588" s="1477"/>
    </row>
    <row r="589" spans="1:26"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80"/>
      <c r="G589" s="1480"/>
      <c r="H589" s="1480"/>
      <c r="I589" s="1427" t="str">
        <f t="shared" si="64"/>
        <v/>
      </c>
      <c r="J589" s="1480" t="str">
        <f t="shared" ref="J589:J606" si="67">IF(M589&lt;&gt;"",IF($Q$589="Yes",Q$1&amp;M589,""))</f>
        <v/>
      </c>
      <c r="K589" s="1480" t="str">
        <f t="shared" si="65"/>
        <v/>
      </c>
      <c r="L589" s="906" t="s">
        <v>1724</v>
      </c>
      <c r="M589" s="1480">
        <v>572</v>
      </c>
      <c r="N589" s="1480"/>
      <c r="O589" s="1477">
        <f>'Configurable Tab'!H6</f>
        <v>45</v>
      </c>
      <c r="P589" s="1477"/>
      <c r="Q589" s="1477" t="s">
        <v>651</v>
      </c>
      <c r="R589" s="1480" t="s">
        <v>857</v>
      </c>
      <c r="S589" s="1477"/>
      <c r="T589" s="1480" t="str">
        <f t="shared" si="66"/>
        <v/>
      </c>
      <c r="U589" s="1477"/>
      <c r="V589" s="1477"/>
      <c r="W589" s="1477"/>
      <c r="X589" s="1477"/>
      <c r="Y589" s="1477"/>
      <c r="Z589" s="1477"/>
    </row>
    <row r="590" spans="1:26"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80" t="s">
        <v>1399</v>
      </c>
      <c r="G590" s="1480" t="str">
        <f>IF(T590&lt;&gt;"","B","")</f>
        <v/>
      </c>
      <c r="H590" s="1480" t="s">
        <v>2063</v>
      </c>
      <c r="I590" s="1427" t="str">
        <f t="shared" si="64"/>
        <v/>
      </c>
      <c r="J590" s="1480"/>
      <c r="K590" s="1480" t="str">
        <f t="shared" si="65"/>
        <v/>
      </c>
      <c r="L590" s="906" t="s">
        <v>1399</v>
      </c>
      <c r="M590" s="1480">
        <v>573</v>
      </c>
      <c r="N590" s="1480"/>
      <c r="O590" s="1477" t="s">
        <v>729</v>
      </c>
      <c r="P590" s="1477"/>
      <c r="Q590" s="1477"/>
      <c r="R590" s="1480" t="s">
        <v>857</v>
      </c>
      <c r="S590" s="1477"/>
      <c r="T590" s="1480" t="str">
        <f t="shared" si="66"/>
        <v/>
      </c>
      <c r="U590" s="1477"/>
      <c r="V590" s="1477"/>
      <c r="W590" s="1477"/>
      <c r="X590" s="1477"/>
      <c r="Y590" s="1477"/>
      <c r="Z590" s="1477"/>
    </row>
    <row r="591" spans="1:26"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80" t="s">
        <v>2064</v>
      </c>
      <c r="G591" s="1480" t="str">
        <f>IF(T591&lt;&gt;"","E","")</f>
        <v/>
      </c>
      <c r="H591" s="1480" t="s">
        <v>2063</v>
      </c>
      <c r="I591" s="1427" t="str">
        <f t="shared" si="64"/>
        <v/>
      </c>
      <c r="J591" s="1480" t="str">
        <f t="shared" si="67"/>
        <v/>
      </c>
      <c r="K591" s="1480" t="str">
        <f t="shared" si="65"/>
        <v/>
      </c>
      <c r="L591" s="906" t="s">
        <v>1396</v>
      </c>
      <c r="M591" s="1480">
        <v>574</v>
      </c>
      <c r="N591" s="1480"/>
      <c r="O591" s="1477">
        <f>'Configurable Tab'!I6</f>
        <v>58</v>
      </c>
      <c r="P591" s="1477"/>
      <c r="Q591" s="1477"/>
      <c r="R591" s="1480" t="s">
        <v>857</v>
      </c>
      <c r="S591" s="1477"/>
      <c r="T591" s="1480" t="str">
        <f t="shared" si="66"/>
        <v/>
      </c>
      <c r="U591" s="1477"/>
      <c r="V591" s="1477"/>
      <c r="W591" s="1477"/>
      <c r="X591" s="1477"/>
      <c r="Y591" s="1477"/>
      <c r="Z591" s="1477"/>
    </row>
    <row r="592" spans="1:26" x14ac:dyDescent="0.25">
      <c r="A592" s="931" t="s">
        <v>1397</v>
      </c>
      <c r="B592" s="906" t="str">
        <f t="shared" ref="B592:B597" ca="1" si="68">_xlfn.CONCAT(IFERROR(SUBSTITUTE(ADDRESS(1,MATCH(A592,INDIRECT("'"&amp;E592&amp;"'"&amp;"!A" &amp; $O$589+2 &amp; ":Z" &amp; $O$589+2),0),4),1,""),""),$O$589+2)</f>
        <v>J47</v>
      </c>
      <c r="C592" s="906" t="str">
        <f t="shared" ref="C592:C597" ca="1" si="69">_xlfn.CONCAT(IFERROR(SUBSTITUTE(ADDRESS(1,MATCH(A592,INDIRECT("'"&amp;E592&amp;"'"&amp;"!A" &amp; $O$589+2 &amp; ":Z" &amp; $O$589+2),0),4),1,""),""),$O$589+3)</f>
        <v>J48</v>
      </c>
      <c r="D592" s="906" t="s">
        <v>1365</v>
      </c>
      <c r="E592" s="906" t="s">
        <v>1535</v>
      </c>
      <c r="F592" s="1480" t="s">
        <v>2065</v>
      </c>
      <c r="G592" s="1480" t="str">
        <f>IF(T592&lt;&gt;"","I","")</f>
        <v/>
      </c>
      <c r="H592" s="1480" t="s">
        <v>2063</v>
      </c>
      <c r="I592" s="1427" t="str">
        <f t="shared" si="64"/>
        <v/>
      </c>
      <c r="J592" s="1480" t="str">
        <f t="shared" si="67"/>
        <v/>
      </c>
      <c r="K592" s="1480" t="str">
        <f t="shared" si="65"/>
        <v/>
      </c>
      <c r="L592" s="906" t="s">
        <v>1397</v>
      </c>
      <c r="M592" s="1480">
        <v>575</v>
      </c>
      <c r="N592" s="1480"/>
      <c r="O592" s="1226" t="s">
        <v>1654</v>
      </c>
      <c r="P592" s="1477"/>
      <c r="Q592" s="1477"/>
      <c r="R592" s="1480" t="s">
        <v>857</v>
      </c>
      <c r="S592" s="1477"/>
      <c r="T592" s="1480" t="str">
        <f t="shared" si="66"/>
        <v/>
      </c>
      <c r="U592" s="1477"/>
      <c r="V592" s="1477"/>
      <c r="W592" s="1477"/>
      <c r="X592" s="1477"/>
      <c r="Y592" s="1477"/>
      <c r="Z592" s="1477"/>
    </row>
    <row r="593" spans="1:26" x14ac:dyDescent="0.25">
      <c r="A593" s="931" t="s">
        <v>1413</v>
      </c>
      <c r="B593" s="906" t="str">
        <f t="shared" ca="1" si="68"/>
        <v>L47</v>
      </c>
      <c r="C593" s="906" t="str">
        <f t="shared" ca="1" si="69"/>
        <v>L48</v>
      </c>
      <c r="D593" s="906" t="s">
        <v>1365</v>
      </c>
      <c r="E593" s="906" t="s">
        <v>1535</v>
      </c>
      <c r="F593" s="1480" t="s">
        <v>2066</v>
      </c>
      <c r="G593" s="1480" t="str">
        <f>IF(T593&lt;&gt;"","H","")</f>
        <v/>
      </c>
      <c r="H593" s="1480" t="s">
        <v>2063</v>
      </c>
      <c r="I593" s="1427" t="str">
        <f t="shared" si="64"/>
        <v/>
      </c>
      <c r="J593" s="1480" t="str">
        <f t="shared" si="67"/>
        <v/>
      </c>
      <c r="K593" s="1480" t="str">
        <f t="shared" si="65"/>
        <v/>
      </c>
      <c r="L593" s="906" t="s">
        <v>1413</v>
      </c>
      <c r="M593" s="1480">
        <v>576</v>
      </c>
      <c r="N593" s="1480"/>
      <c r="O593" s="1477"/>
      <c r="P593" s="1477"/>
      <c r="Q593" s="1477"/>
      <c r="R593" s="1480" t="s">
        <v>857</v>
      </c>
      <c r="S593" s="1477"/>
      <c r="T593" s="1480" t="str">
        <f t="shared" si="66"/>
        <v/>
      </c>
      <c r="U593" s="1477"/>
      <c r="V593" s="1477"/>
      <c r="W593" s="1477"/>
      <c r="X593" s="1477"/>
      <c r="Y593" s="1477"/>
      <c r="Z593" s="1477"/>
    </row>
    <row r="594" spans="1:26" x14ac:dyDescent="0.25">
      <c r="A594" s="931" t="s">
        <v>1398</v>
      </c>
      <c r="B594" s="906" t="str">
        <f t="shared" ca="1" si="68"/>
        <v>N47</v>
      </c>
      <c r="C594" s="906" t="str">
        <f t="shared" ca="1" si="69"/>
        <v>N48</v>
      </c>
      <c r="D594" s="906" t="s">
        <v>1365</v>
      </c>
      <c r="E594" s="906" t="s">
        <v>1535</v>
      </c>
      <c r="F594" s="1480" t="s">
        <v>1398</v>
      </c>
      <c r="G594" s="1480" t="str">
        <f>IF(T594&lt;&gt;"",IF(Q592="Credit Memo","J",IF(Q592="Check","K","")),"")</f>
        <v/>
      </c>
      <c r="H594" s="1480" t="s">
        <v>2063</v>
      </c>
      <c r="I594" s="1427" t="str">
        <f t="shared" si="64"/>
        <v/>
      </c>
      <c r="J594" s="1480" t="str">
        <f t="shared" si="67"/>
        <v/>
      </c>
      <c r="K594" s="1480" t="str">
        <f t="shared" si="65"/>
        <v/>
      </c>
      <c r="L594" s="906" t="s">
        <v>1398</v>
      </c>
      <c r="M594" s="1480">
        <v>577</v>
      </c>
      <c r="N594" s="1480"/>
      <c r="O594" s="1477"/>
      <c r="P594" s="1477"/>
      <c r="Q594" s="1477"/>
      <c r="R594" s="1480" t="s">
        <v>857</v>
      </c>
      <c r="S594" s="1477"/>
      <c r="T594" s="1480" t="str">
        <f t="shared" si="66"/>
        <v/>
      </c>
      <c r="U594" s="1477"/>
      <c r="V594" s="1477"/>
      <c r="W594" s="1477"/>
      <c r="X594" s="1477"/>
      <c r="Y594" s="1477"/>
      <c r="Z594" s="1477"/>
    </row>
    <row r="595" spans="1:26" x14ac:dyDescent="0.25">
      <c r="A595" s="931" t="s">
        <v>1505</v>
      </c>
      <c r="B595" s="906" t="str">
        <f t="shared" ca="1" si="68"/>
        <v>P47</v>
      </c>
      <c r="C595" s="906" t="str">
        <f t="shared" ca="1" si="69"/>
        <v>P48</v>
      </c>
      <c r="D595" s="906" t="s">
        <v>1365</v>
      </c>
      <c r="E595" s="906" t="s">
        <v>1535</v>
      </c>
      <c r="F595" s="1480" t="s">
        <v>2067</v>
      </c>
      <c r="G595" s="1480" t="str">
        <f>IF(T595&lt;&gt;"","F","")</f>
        <v/>
      </c>
      <c r="H595" s="1480" t="s">
        <v>2063</v>
      </c>
      <c r="I595" s="1427" t="str">
        <f t="shared" si="64"/>
        <v/>
      </c>
      <c r="J595" s="1480" t="str">
        <f t="shared" si="67"/>
        <v/>
      </c>
      <c r="K595" s="1480" t="str">
        <f t="shared" si="65"/>
        <v/>
      </c>
      <c r="L595" s="906" t="s">
        <v>1505</v>
      </c>
      <c r="M595" s="1480">
        <v>578</v>
      </c>
      <c r="N595" s="1480"/>
      <c r="O595" s="1477"/>
      <c r="P595" s="1477"/>
      <c r="Q595" s="1477"/>
      <c r="R595" s="1480" t="s">
        <v>857</v>
      </c>
      <c r="S595" s="1477"/>
      <c r="T595" s="1480" t="str">
        <f t="shared" si="66"/>
        <v/>
      </c>
      <c r="U595" s="1477"/>
      <c r="V595" s="1477"/>
      <c r="W595" s="1477"/>
      <c r="X595" s="1477"/>
      <c r="Y595" s="1477"/>
      <c r="Z595" s="1477"/>
    </row>
    <row r="596" spans="1:26" x14ac:dyDescent="0.25">
      <c r="A596" s="931" t="s">
        <v>1506</v>
      </c>
      <c r="B596" s="906" t="str">
        <f t="shared" ca="1" si="68"/>
        <v>R47</v>
      </c>
      <c r="C596" s="906" t="str">
        <f t="shared" ca="1" si="69"/>
        <v>R48</v>
      </c>
      <c r="D596" s="906" t="s">
        <v>1365</v>
      </c>
      <c r="E596" s="906" t="s">
        <v>1535</v>
      </c>
      <c r="F596" s="1480" t="s">
        <v>2068</v>
      </c>
      <c r="G596" s="1480" t="str">
        <f>IF(T596&lt;&gt;"","G","")</f>
        <v/>
      </c>
      <c r="H596" s="1480" t="s">
        <v>2063</v>
      </c>
      <c r="I596" s="1427" t="str">
        <f t="shared" si="64"/>
        <v/>
      </c>
      <c r="J596" s="1480" t="str">
        <f t="shared" si="67"/>
        <v/>
      </c>
      <c r="K596" s="1480" t="str">
        <f t="shared" si="65"/>
        <v/>
      </c>
      <c r="L596" s="906" t="s">
        <v>1506</v>
      </c>
      <c r="M596" s="1480">
        <v>579</v>
      </c>
      <c r="N596" s="1480"/>
      <c r="O596" s="1477"/>
      <c r="P596" s="1477"/>
      <c r="Q596" s="1477"/>
      <c r="R596" s="1480" t="s">
        <v>857</v>
      </c>
      <c r="S596" s="1477"/>
      <c r="T596" s="1480" t="str">
        <f t="shared" si="66"/>
        <v/>
      </c>
      <c r="U596" s="1477"/>
      <c r="V596" s="1477"/>
      <c r="W596" s="1477"/>
      <c r="X596" s="1477"/>
      <c r="Y596" s="1477"/>
      <c r="Z596" s="1477"/>
    </row>
    <row r="597" spans="1:26" x14ac:dyDescent="0.25">
      <c r="A597" s="931" t="s">
        <v>1507</v>
      </c>
      <c r="B597" s="906" t="str">
        <f t="shared" ca="1" si="68"/>
        <v>T47</v>
      </c>
      <c r="C597" s="906" t="str">
        <f t="shared" ca="1" si="69"/>
        <v>T48</v>
      </c>
      <c r="D597" s="906" t="s">
        <v>1365</v>
      </c>
      <c r="E597" s="906" t="s">
        <v>1535</v>
      </c>
      <c r="F597" s="923" t="s">
        <v>1507</v>
      </c>
      <c r="G597" s="1480" t="str">
        <f>IF(T597&lt;&gt;"","AW","")</f>
        <v/>
      </c>
      <c r="H597" s="1480" t="s">
        <v>2063</v>
      </c>
      <c r="I597" s="1427" t="str">
        <f t="shared" si="64"/>
        <v/>
      </c>
      <c r="J597" s="1480" t="str">
        <f t="shared" si="67"/>
        <v/>
      </c>
      <c r="K597" s="1480" t="str">
        <f t="shared" si="65"/>
        <v/>
      </c>
      <c r="L597" s="906" t="s">
        <v>1507</v>
      </c>
      <c r="M597" s="1480">
        <v>580</v>
      </c>
      <c r="N597" s="1480"/>
      <c r="O597" s="1477"/>
      <c r="P597" s="1477"/>
      <c r="Q597" s="1477"/>
      <c r="R597" s="1480" t="s">
        <v>857</v>
      </c>
      <c r="S597" s="1477"/>
      <c r="T597" s="1480" t="str">
        <f t="shared" si="66"/>
        <v/>
      </c>
      <c r="U597" s="1477"/>
      <c r="V597" s="1477"/>
      <c r="W597" s="1477"/>
      <c r="X597" s="1477"/>
      <c r="Y597" s="1477"/>
      <c r="Z597" s="1477"/>
    </row>
    <row r="598" spans="1:26"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80" t="s">
        <v>1401</v>
      </c>
      <c r="G598" s="1480" t="str">
        <f>IF(T598&lt;&gt;"","C","")</f>
        <v/>
      </c>
      <c r="H598" s="1480" t="s">
        <v>2063</v>
      </c>
      <c r="I598" s="1427" t="str">
        <f t="shared" si="64"/>
        <v/>
      </c>
      <c r="J598" s="1480"/>
      <c r="K598" s="1480" t="str">
        <f t="shared" si="65"/>
        <v/>
      </c>
      <c r="L598" s="906" t="s">
        <v>1401</v>
      </c>
      <c r="M598" s="1480">
        <v>581</v>
      </c>
      <c r="N598" s="1480"/>
      <c r="O598" s="1477"/>
      <c r="P598" s="1477"/>
      <c r="Q598" s="1477"/>
      <c r="R598" s="1480" t="s">
        <v>857</v>
      </c>
      <c r="S598" s="1477"/>
      <c r="T598" s="1480" t="str">
        <f t="shared" si="66"/>
        <v/>
      </c>
      <c r="U598" s="1477"/>
      <c r="V598" s="1477"/>
      <c r="W598" s="1477"/>
      <c r="X598" s="1477"/>
      <c r="Y598" s="1477"/>
      <c r="Z598" s="1477"/>
    </row>
    <row r="599" spans="1:26"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80" t="s">
        <v>1402</v>
      </c>
      <c r="G599" s="1480" t="str">
        <f>IF(T599&lt;&gt;"","D","")</f>
        <v/>
      </c>
      <c r="H599" s="1480" t="s">
        <v>2063</v>
      </c>
      <c r="I599" s="1427" t="str">
        <f t="shared" si="64"/>
        <v/>
      </c>
      <c r="J599" s="1480"/>
      <c r="K599" s="1480" t="str">
        <f t="shared" si="65"/>
        <v/>
      </c>
      <c r="L599" s="906" t="s">
        <v>1402</v>
      </c>
      <c r="M599" s="1480">
        <v>582</v>
      </c>
      <c r="N599" s="1480"/>
      <c r="O599" s="1477"/>
      <c r="P599" s="1477"/>
      <c r="Q599" s="1477"/>
      <c r="R599" s="1480" t="s">
        <v>857</v>
      </c>
      <c r="S599" s="1477"/>
      <c r="T599" s="1480" t="str">
        <f t="shared" si="66"/>
        <v/>
      </c>
      <c r="U599" s="1477"/>
      <c r="V599" s="1477"/>
      <c r="W599" s="1477"/>
      <c r="X599" s="1477"/>
      <c r="Y599" s="1477"/>
      <c r="Z599" s="1477"/>
    </row>
    <row r="600" spans="1:26"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80" t="s">
        <v>1514</v>
      </c>
      <c r="G600" s="1480" t="str">
        <f>IF(T600&lt;&gt;"","AN","")</f>
        <v/>
      </c>
      <c r="H600" s="1480" t="s">
        <v>2063</v>
      </c>
      <c r="I600" s="1427" t="str">
        <f t="shared" si="64"/>
        <v/>
      </c>
      <c r="J600" s="1480" t="str">
        <f t="shared" si="67"/>
        <v/>
      </c>
      <c r="K600" s="1480" t="str">
        <f t="shared" si="65"/>
        <v/>
      </c>
      <c r="L600" s="906" t="s">
        <v>1514</v>
      </c>
      <c r="M600" s="1480">
        <v>583</v>
      </c>
      <c r="N600" s="1480"/>
      <c r="O600" s="1477"/>
      <c r="P600" s="1484" t="str" cm="1">
        <f t="array" aca="1" ref="P600" ca="1">_xlfn.CONCAT("F",RIGHT(B600, LEN(B600) - MAX(IF(ISNUMBER(MID(B600, ROW(INDIRECT("1:"&amp;LEN(B600))), 1) *1)=FALSE, ROW(INDIRECT("1:"&amp;LEN(B600))), 0))))</f>
        <v>F55</v>
      </c>
      <c r="Q600" s="1480" t="str" cm="1">
        <f t="array" aca="1" ref="Q600" ca="1">_xlfn.CONCAT("E",RIGHT(C600, LEN(C600) - MAX(IF(ISNUMBER(MID(C600, ROW(INDIRECT("1:"&amp;LEN(C600))), 1) *1)=FALSE, ROW(INDIRECT("1:"&amp;LEN(C600))), 0))))</f>
        <v>E55</v>
      </c>
      <c r="R600" s="1480" t="s">
        <v>857</v>
      </c>
      <c r="S600" s="1477"/>
      <c r="T600" s="1480" t="str">
        <f t="shared" si="66"/>
        <v/>
      </c>
      <c r="U600" s="1477"/>
      <c r="V600" s="1477"/>
      <c r="W600" s="1477"/>
      <c r="X600" s="1477"/>
      <c r="Y600" s="1477"/>
      <c r="Z600" s="1477"/>
    </row>
    <row r="601" spans="1:26"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80" t="s">
        <v>1511</v>
      </c>
      <c r="G601" s="1480" t="str">
        <f>IF(T601&lt;&gt;"","AL","")</f>
        <v/>
      </c>
      <c r="H601" s="1480" t="s">
        <v>2063</v>
      </c>
      <c r="I601" s="1427" t="str">
        <f t="shared" si="64"/>
        <v/>
      </c>
      <c r="J601" s="1480" t="str">
        <f t="shared" si="67"/>
        <v/>
      </c>
      <c r="K601" s="1480" t="str">
        <f t="shared" si="65"/>
        <v/>
      </c>
      <c r="L601" s="906" t="s">
        <v>1511</v>
      </c>
      <c r="M601" s="1480">
        <v>584</v>
      </c>
      <c r="N601" s="1480"/>
      <c r="O601" s="1477"/>
      <c r="P601" s="1477"/>
      <c r="Q601" s="1477"/>
      <c r="R601" s="1480" t="s">
        <v>857</v>
      </c>
      <c r="S601" s="1477"/>
      <c r="T601" s="1480" t="str">
        <f t="shared" si="66"/>
        <v/>
      </c>
      <c r="U601" s="1477"/>
      <c r="V601" s="1477"/>
      <c r="W601" s="1477"/>
      <c r="X601" s="1477"/>
      <c r="Y601" s="1477"/>
      <c r="Z601" s="1477"/>
    </row>
    <row r="602" spans="1:26"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80" t="s">
        <v>2069</v>
      </c>
      <c r="G602" s="1480" t="str">
        <f>IF(T602&lt;&gt;"","L","")</f>
        <v/>
      </c>
      <c r="H602" s="1480" t="s">
        <v>2063</v>
      </c>
      <c r="I602" s="1427" t="str">
        <f t="shared" si="64"/>
        <v/>
      </c>
      <c r="J602" s="1480" t="str">
        <f t="shared" si="67"/>
        <v/>
      </c>
      <c r="K602" s="1480" t="str">
        <f t="shared" si="65"/>
        <v/>
      </c>
      <c r="L602" s="906" t="s">
        <v>1525</v>
      </c>
      <c r="M602" s="1480">
        <v>585</v>
      </c>
      <c r="N602" s="1480"/>
      <c r="O602" s="1477"/>
      <c r="P602" s="1477"/>
      <c r="Q602" s="1477"/>
      <c r="R602" s="1480" t="s">
        <v>857</v>
      </c>
      <c r="S602" s="1477"/>
      <c r="T602" s="1480" t="str">
        <f t="shared" si="66"/>
        <v/>
      </c>
      <c r="U602" s="1477"/>
      <c r="V602" s="1477"/>
      <c r="W602" s="1477"/>
      <c r="X602" s="1477"/>
      <c r="Y602" s="1477"/>
      <c r="Z602" s="1477"/>
    </row>
    <row r="603" spans="1:26"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80" t="str">
        <f>IF(T603&lt;&gt;"","AH","")</f>
        <v/>
      </c>
      <c r="H603" s="1480" t="s">
        <v>2063</v>
      </c>
      <c r="I603" s="1427" t="str">
        <f t="shared" si="64"/>
        <v/>
      </c>
      <c r="J603" s="1480" t="str">
        <f t="shared" si="67"/>
        <v/>
      </c>
      <c r="K603" s="1480" t="str">
        <f t="shared" si="65"/>
        <v/>
      </c>
      <c r="L603" s="906" t="s">
        <v>1403</v>
      </c>
      <c r="M603" s="1480">
        <v>586</v>
      </c>
      <c r="N603" s="1480"/>
      <c r="O603" s="1477"/>
      <c r="P603" s="1477"/>
      <c r="Q603" s="1477"/>
      <c r="R603" s="1480" t="s">
        <v>857</v>
      </c>
      <c r="S603" s="1477"/>
      <c r="T603" s="1480" t="str">
        <f t="shared" si="66"/>
        <v/>
      </c>
      <c r="U603" s="1477"/>
      <c r="V603" s="1477"/>
      <c r="W603" s="1477"/>
      <c r="X603" s="1477"/>
      <c r="Y603" s="1477"/>
      <c r="Z603" s="1477"/>
    </row>
    <row r="604" spans="1:26"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80"/>
      <c r="H604" s="1480"/>
      <c r="I604" s="1427" t="str">
        <f t="shared" si="64"/>
        <v/>
      </c>
      <c r="J604" s="1480"/>
      <c r="K604" s="1480" t="str">
        <f t="shared" si="65"/>
        <v/>
      </c>
      <c r="L604" s="906" t="s">
        <v>1404</v>
      </c>
      <c r="M604" s="1480">
        <v>587</v>
      </c>
      <c r="N604" s="1480"/>
      <c r="O604" s="1477"/>
      <c r="P604" s="1477"/>
      <c r="Q604" s="1477"/>
      <c r="R604" s="1480" t="s">
        <v>857</v>
      </c>
      <c r="S604" s="1477"/>
      <c r="T604" s="1480" t="str">
        <f t="shared" si="66"/>
        <v/>
      </c>
      <c r="U604" s="1477"/>
      <c r="V604" s="1477"/>
      <c r="W604" s="1477"/>
      <c r="X604" s="1477"/>
      <c r="Y604" s="1477"/>
      <c r="Z604" s="1477"/>
    </row>
    <row r="605" spans="1:26"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80" t="s">
        <v>1985</v>
      </c>
      <c r="G605" s="1480"/>
      <c r="H605" s="1480" t="s">
        <v>2063</v>
      </c>
      <c r="I605" s="1427" t="str">
        <f t="shared" si="64"/>
        <v/>
      </c>
      <c r="J605" s="1480"/>
      <c r="K605" s="1480" t="str">
        <f t="shared" si="65"/>
        <v/>
      </c>
      <c r="L605" s="906" t="s">
        <v>1405</v>
      </c>
      <c r="M605" s="1480">
        <v>588</v>
      </c>
      <c r="N605" s="1480"/>
      <c r="O605" s="1477"/>
      <c r="P605" s="1477"/>
      <c r="Q605" s="1477"/>
      <c r="R605" s="1480" t="s">
        <v>857</v>
      </c>
      <c r="S605" s="1477"/>
      <c r="T605" s="1480" t="str">
        <f t="shared" si="66"/>
        <v/>
      </c>
      <c r="U605" s="1477"/>
      <c r="V605" s="1477"/>
      <c r="W605" s="1477"/>
      <c r="X605" s="1477"/>
      <c r="Y605" s="1477"/>
      <c r="Z605" s="1477"/>
    </row>
    <row r="606" spans="1:26"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80" t="s">
        <v>1527</v>
      </c>
      <c r="G606" s="1480" t="str">
        <f>IF(T606&lt;&gt;"","P","")</f>
        <v/>
      </c>
      <c r="H606" s="1480" t="s">
        <v>2063</v>
      </c>
      <c r="I606" s="1427" t="str">
        <f t="shared" si="64"/>
        <v/>
      </c>
      <c r="J606" s="1480" t="str">
        <f t="shared" si="67"/>
        <v/>
      </c>
      <c r="K606" s="1480" t="str">
        <f t="shared" si="65"/>
        <v/>
      </c>
      <c r="L606" s="906" t="s">
        <v>1527</v>
      </c>
      <c r="M606" s="1480">
        <v>589</v>
      </c>
      <c r="N606" s="1480"/>
      <c r="O606" s="1477"/>
      <c r="P606" s="1477"/>
      <c r="Q606" s="1477"/>
      <c r="R606" s="1480" t="s">
        <v>857</v>
      </c>
      <c r="S606" s="1477"/>
      <c r="T606" s="1480" t="str">
        <f>IF(Q$589="Yes",4,"")</f>
        <v/>
      </c>
      <c r="U606" s="1477"/>
      <c r="V606" s="1477"/>
      <c r="W606" s="1477"/>
      <c r="X606" s="1477"/>
      <c r="Y606" s="1477"/>
      <c r="Z606" s="1477"/>
    </row>
    <row r="607" spans="1:26"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80" t="s">
        <v>1510</v>
      </c>
      <c r="G607" s="1480" t="str">
        <f>IF(T607&lt;&gt;"","A","")</f>
        <v/>
      </c>
      <c r="H607" s="1480" t="s">
        <v>2063</v>
      </c>
      <c r="I607" s="1427" t="str">
        <f t="shared" si="64"/>
        <v/>
      </c>
      <c r="J607" s="1480"/>
      <c r="K607" s="1480" t="str">
        <f t="shared" si="65"/>
        <v/>
      </c>
      <c r="L607" s="906" t="s">
        <v>1510</v>
      </c>
      <c r="M607" s="1480">
        <v>590</v>
      </c>
      <c r="N607" s="1480"/>
      <c r="O607" s="1477" t="s">
        <v>728</v>
      </c>
      <c r="P607" s="1477"/>
      <c r="Q607" s="1477"/>
      <c r="R607" s="1480" t="s">
        <v>857</v>
      </c>
      <c r="S607" s="1477"/>
      <c r="T607" s="1480" t="str">
        <f t="shared" ref="T607:T620" si="70">IF(Q$608="Yes",5,"")</f>
        <v/>
      </c>
      <c r="U607" s="1477"/>
      <c r="V607" s="1477"/>
      <c r="W607" s="1477"/>
      <c r="X607" s="1477"/>
      <c r="Y607" s="1477"/>
      <c r="Z607" s="1477"/>
    </row>
    <row r="608" spans="1:26"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80"/>
      <c r="G608" s="1480"/>
      <c r="H608" s="1480"/>
      <c r="I608" s="1427" t="str">
        <f t="shared" si="64"/>
        <v/>
      </c>
      <c r="J608" s="1480" t="str">
        <f t="shared" ref="J608:J637" si="71">IF(M608&lt;&gt;"",IF($Q$608="Yes",Q$1&amp;M608,""))</f>
        <v/>
      </c>
      <c r="K608" s="1480" t="str">
        <f t="shared" si="65"/>
        <v/>
      </c>
      <c r="L608" s="906" t="s">
        <v>1724</v>
      </c>
      <c r="M608" s="1480">
        <v>591</v>
      </c>
      <c r="N608" s="1480"/>
      <c r="O608" s="1477">
        <f>'Configurable Tab'!H7</f>
        <v>59</v>
      </c>
      <c r="P608" s="1477"/>
      <c r="Q608" s="1477" t="s">
        <v>651</v>
      </c>
      <c r="R608" s="1480" t="s">
        <v>857</v>
      </c>
      <c r="S608" s="1477"/>
      <c r="T608" s="1480" t="str">
        <f t="shared" si="70"/>
        <v/>
      </c>
      <c r="U608" s="1477"/>
      <c r="V608" s="1477"/>
      <c r="W608" s="1477"/>
      <c r="X608" s="1477"/>
      <c r="Y608" s="1477"/>
      <c r="Z608" s="1477"/>
    </row>
    <row r="609" spans="1:26"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80" t="s">
        <v>1399</v>
      </c>
      <c r="G609" s="1480" t="str">
        <f>IF(T609&lt;&gt;"","B","")</f>
        <v/>
      </c>
      <c r="H609" s="1480" t="s">
        <v>2063</v>
      </c>
      <c r="I609" s="1427" t="str">
        <f t="shared" si="64"/>
        <v/>
      </c>
      <c r="J609" s="1480"/>
      <c r="K609" s="1480" t="str">
        <f t="shared" si="65"/>
        <v/>
      </c>
      <c r="L609" s="906" t="s">
        <v>1399</v>
      </c>
      <c r="M609" s="1480">
        <v>592</v>
      </c>
      <c r="N609" s="1480"/>
      <c r="O609" s="1477" t="s">
        <v>729</v>
      </c>
      <c r="P609" s="1477"/>
      <c r="Q609" s="1477"/>
      <c r="R609" s="1480" t="s">
        <v>857</v>
      </c>
      <c r="S609" s="1477"/>
      <c r="T609" s="1480" t="str">
        <f t="shared" si="70"/>
        <v/>
      </c>
      <c r="U609" s="1477"/>
      <c r="V609" s="1477"/>
      <c r="W609" s="1477"/>
      <c r="X609" s="1477"/>
      <c r="Y609" s="1477"/>
      <c r="Z609" s="1477"/>
    </row>
    <row r="610" spans="1:26" x14ac:dyDescent="0.25">
      <c r="A610" s="929" t="s">
        <v>1396</v>
      </c>
      <c r="B610" s="906" t="str">
        <f t="shared" ref="B610:B616" ca="1" si="72">_xlfn.CONCAT(IFERROR(SUBSTITUTE(ADDRESS(1,MATCH(A610,INDIRECT("'"&amp;E610&amp;"'"&amp;"!A" &amp; $O$608+2&amp;":Z" &amp; $O$608+2),0),4),1,""),""),$O$608+2)</f>
        <v>H61</v>
      </c>
      <c r="C610" s="906" t="str">
        <f t="shared" ref="C610:C616" ca="1" si="73">_xlfn.CONCAT(IFERROR(SUBSTITUTE(ADDRESS(1,MATCH(A610,INDIRECT("'"&amp;E610&amp;"'"&amp;"!A" &amp; $O$608+2&amp;":Z" &amp; $O$608+2),0),4),1,""),""),$O$608+3)</f>
        <v>H62</v>
      </c>
      <c r="D610" s="906" t="s">
        <v>1365</v>
      </c>
      <c r="E610" s="906" t="s">
        <v>1535</v>
      </c>
      <c r="F610" s="1480" t="s">
        <v>2064</v>
      </c>
      <c r="G610" s="1480" t="str">
        <f>IF(T610&lt;&gt;"","E","")</f>
        <v/>
      </c>
      <c r="H610" s="1480" t="s">
        <v>2063</v>
      </c>
      <c r="I610" s="1427" t="str">
        <f t="shared" si="64"/>
        <v/>
      </c>
      <c r="J610" s="1480" t="str">
        <f t="shared" si="71"/>
        <v/>
      </c>
      <c r="K610" s="1480" t="str">
        <f t="shared" si="65"/>
        <v/>
      </c>
      <c r="L610" s="906" t="s">
        <v>1396</v>
      </c>
      <c r="M610" s="1480">
        <v>593</v>
      </c>
      <c r="N610" s="1480"/>
      <c r="O610" s="1477">
        <f>'Configurable Tab'!I7</f>
        <v>74</v>
      </c>
      <c r="P610" s="1477"/>
      <c r="Q610" s="1477"/>
      <c r="R610" s="1480" t="s">
        <v>857</v>
      </c>
      <c r="S610" s="1477"/>
      <c r="T610" s="1480" t="str">
        <f t="shared" si="70"/>
        <v/>
      </c>
      <c r="U610" s="1477"/>
      <c r="V610" s="1477"/>
      <c r="W610" s="1477"/>
      <c r="X610" s="1477"/>
      <c r="Y610" s="1477"/>
      <c r="Z610" s="1477"/>
    </row>
    <row r="611" spans="1:26" x14ac:dyDescent="0.25">
      <c r="A611" s="929" t="s">
        <v>1397</v>
      </c>
      <c r="B611" s="906" t="str">
        <f t="shared" ca="1" si="72"/>
        <v>J61</v>
      </c>
      <c r="C611" s="906" t="str">
        <f t="shared" ca="1" si="73"/>
        <v>J62</v>
      </c>
      <c r="D611" s="906" t="s">
        <v>1365</v>
      </c>
      <c r="E611" s="906" t="s">
        <v>1535</v>
      </c>
      <c r="F611" s="1480" t="s">
        <v>2065</v>
      </c>
      <c r="G611" s="1480" t="str">
        <f>IF(T611&lt;&gt;"","I","")</f>
        <v/>
      </c>
      <c r="H611" s="1480" t="s">
        <v>2063</v>
      </c>
      <c r="I611" s="1427" t="str">
        <f t="shared" si="64"/>
        <v/>
      </c>
      <c r="J611" s="1480" t="str">
        <f t="shared" si="71"/>
        <v/>
      </c>
      <c r="K611" s="1480" t="str">
        <f t="shared" si="65"/>
        <v/>
      </c>
      <c r="L611" s="906" t="s">
        <v>1397</v>
      </c>
      <c r="M611" s="1480">
        <v>594</v>
      </c>
      <c r="N611" s="1480"/>
      <c r="O611" s="1477" t="s">
        <v>1655</v>
      </c>
      <c r="P611" s="1477"/>
      <c r="Q611" s="1477"/>
      <c r="R611" s="1480" t="s">
        <v>857</v>
      </c>
      <c r="S611" s="1477"/>
      <c r="T611" s="1480" t="str">
        <f t="shared" si="70"/>
        <v/>
      </c>
      <c r="U611" s="1477"/>
      <c r="V611" s="1477"/>
      <c r="W611" s="1477"/>
      <c r="X611" s="1477"/>
      <c r="Y611" s="1477"/>
      <c r="Z611" s="1477"/>
    </row>
    <row r="612" spans="1:26" x14ac:dyDescent="0.25">
      <c r="A612" s="929" t="s">
        <v>1413</v>
      </c>
      <c r="B612" s="906" t="str">
        <f t="shared" ca="1" si="72"/>
        <v>L61</v>
      </c>
      <c r="C612" s="906" t="str">
        <f t="shared" ca="1" si="73"/>
        <v>L62</v>
      </c>
      <c r="D612" s="906" t="s">
        <v>1365</v>
      </c>
      <c r="E612" s="906" t="s">
        <v>1535</v>
      </c>
      <c r="F612" s="1480" t="s">
        <v>2066</v>
      </c>
      <c r="G612" s="1480" t="str">
        <f>IF(T612&lt;&gt;"","H","")</f>
        <v/>
      </c>
      <c r="H612" s="1480" t="s">
        <v>2063</v>
      </c>
      <c r="I612" s="1427" t="str">
        <f t="shared" si="64"/>
        <v/>
      </c>
      <c r="J612" s="1480" t="str">
        <f t="shared" si="71"/>
        <v/>
      </c>
      <c r="K612" s="1480" t="str">
        <f t="shared" si="65"/>
        <v/>
      </c>
      <c r="L612" s="906" t="s">
        <v>1413</v>
      </c>
      <c r="M612" s="1480">
        <v>595</v>
      </c>
      <c r="N612" s="1480"/>
      <c r="O612" s="1477"/>
      <c r="P612" s="1477"/>
      <c r="Q612" s="1477"/>
      <c r="R612" s="1480" t="s">
        <v>857</v>
      </c>
      <c r="S612" s="1477"/>
      <c r="T612" s="1480" t="str">
        <f t="shared" si="70"/>
        <v/>
      </c>
      <c r="U612" s="1477"/>
      <c r="V612" s="1477"/>
      <c r="W612" s="1477"/>
      <c r="X612" s="1477"/>
      <c r="Y612" s="1477"/>
      <c r="Z612" s="1477"/>
    </row>
    <row r="613" spans="1:26" x14ac:dyDescent="0.25">
      <c r="A613" s="929" t="s">
        <v>1398</v>
      </c>
      <c r="B613" s="906" t="str">
        <f t="shared" ca="1" si="72"/>
        <v>N61</v>
      </c>
      <c r="C613" s="906" t="str">
        <f t="shared" ca="1" si="73"/>
        <v>N62</v>
      </c>
      <c r="D613" s="906" t="s">
        <v>1365</v>
      </c>
      <c r="E613" s="906" t="s">
        <v>1535</v>
      </c>
      <c r="F613" s="1480" t="s">
        <v>1398</v>
      </c>
      <c r="G613" s="1480" t="str">
        <f>IF(T613&lt;&gt;"",IF(Q611="Credit Memo","J",IF(Q611="Check","K","")),"")</f>
        <v/>
      </c>
      <c r="H613" s="1480" t="s">
        <v>2063</v>
      </c>
      <c r="I613" s="1427" t="str">
        <f t="shared" si="64"/>
        <v/>
      </c>
      <c r="J613" s="1480" t="str">
        <f t="shared" si="71"/>
        <v/>
      </c>
      <c r="K613" s="1480" t="str">
        <f t="shared" si="65"/>
        <v/>
      </c>
      <c r="L613" s="906" t="s">
        <v>1398</v>
      </c>
      <c r="M613" s="1480">
        <v>596</v>
      </c>
      <c r="N613" s="1480"/>
      <c r="O613" s="1477"/>
      <c r="P613" s="1477"/>
      <c r="Q613" s="1477"/>
      <c r="R613" s="1480" t="s">
        <v>857</v>
      </c>
      <c r="S613" s="1477"/>
      <c r="T613" s="1480" t="str">
        <f t="shared" si="70"/>
        <v/>
      </c>
      <c r="U613" s="1477"/>
      <c r="V613" s="1477"/>
      <c r="W613" s="1477"/>
      <c r="X613" s="1477"/>
      <c r="Y613" s="1477"/>
      <c r="Z613" s="1477"/>
    </row>
    <row r="614" spans="1:26" x14ac:dyDescent="0.25">
      <c r="A614" s="929" t="s">
        <v>1505</v>
      </c>
      <c r="B614" s="906" t="str">
        <f t="shared" ca="1" si="72"/>
        <v>P61</v>
      </c>
      <c r="C614" s="906" t="str">
        <f t="shared" ca="1" si="73"/>
        <v>P62</v>
      </c>
      <c r="D614" s="906" t="s">
        <v>1365</v>
      </c>
      <c r="E614" s="906" t="s">
        <v>1535</v>
      </c>
      <c r="F614" s="1480" t="s">
        <v>2067</v>
      </c>
      <c r="G614" s="1480" t="str">
        <f>IF(T614&lt;&gt;"","F","")</f>
        <v/>
      </c>
      <c r="H614" s="1480" t="s">
        <v>2063</v>
      </c>
      <c r="I614" s="1427" t="str">
        <f t="shared" si="64"/>
        <v/>
      </c>
      <c r="J614" s="1480" t="str">
        <f t="shared" si="71"/>
        <v/>
      </c>
      <c r="K614" s="1480" t="str">
        <f t="shared" si="65"/>
        <v/>
      </c>
      <c r="L614" s="906" t="s">
        <v>1505</v>
      </c>
      <c r="M614" s="1480">
        <v>597</v>
      </c>
      <c r="N614" s="1480"/>
      <c r="O614" s="1477"/>
      <c r="P614" s="1477"/>
      <c r="Q614" s="1477"/>
      <c r="R614" s="1480" t="s">
        <v>857</v>
      </c>
      <c r="S614" s="1477"/>
      <c r="T614" s="1480" t="str">
        <f t="shared" si="70"/>
        <v/>
      </c>
      <c r="U614" s="1477"/>
      <c r="V614" s="1477"/>
      <c r="W614" s="1477"/>
      <c r="X614" s="1477"/>
      <c r="Y614" s="1477"/>
      <c r="Z614" s="1477"/>
    </row>
    <row r="615" spans="1:26" x14ac:dyDescent="0.25">
      <c r="A615" s="929" t="s">
        <v>1506</v>
      </c>
      <c r="B615" s="906" t="str">
        <f t="shared" ca="1" si="72"/>
        <v>R61</v>
      </c>
      <c r="C615" s="906" t="str">
        <f t="shared" ca="1" si="73"/>
        <v>R62</v>
      </c>
      <c r="D615" s="906" t="s">
        <v>1365</v>
      </c>
      <c r="E615" s="906" t="s">
        <v>1535</v>
      </c>
      <c r="F615" s="1480" t="s">
        <v>2068</v>
      </c>
      <c r="G615" s="1480" t="str">
        <f>IF(T615&lt;&gt;"","G","")</f>
        <v/>
      </c>
      <c r="H615" s="1480" t="s">
        <v>2063</v>
      </c>
      <c r="I615" s="1427" t="str">
        <f t="shared" si="64"/>
        <v/>
      </c>
      <c r="J615" s="1480" t="str">
        <f t="shared" si="71"/>
        <v/>
      </c>
      <c r="K615" s="1480" t="str">
        <f t="shared" si="65"/>
        <v/>
      </c>
      <c r="L615" s="906" t="s">
        <v>1506</v>
      </c>
      <c r="M615" s="1480">
        <v>598</v>
      </c>
      <c r="N615" s="1480"/>
      <c r="O615" s="1477"/>
      <c r="P615" s="1477"/>
      <c r="Q615" s="1477"/>
      <c r="R615" s="1480" t="s">
        <v>857</v>
      </c>
      <c r="S615" s="1477"/>
      <c r="T615" s="1480" t="str">
        <f t="shared" si="70"/>
        <v/>
      </c>
      <c r="U615" s="1477"/>
      <c r="V615" s="1477"/>
      <c r="W615" s="1477"/>
      <c r="X615" s="1477"/>
      <c r="Y615" s="1477"/>
      <c r="Z615" s="1477"/>
    </row>
    <row r="616" spans="1:26" x14ac:dyDescent="0.25">
      <c r="A616" s="929" t="s">
        <v>1507</v>
      </c>
      <c r="B616" s="906" t="str">
        <f t="shared" ca="1" si="72"/>
        <v>T61</v>
      </c>
      <c r="C616" s="906" t="str">
        <f t="shared" ca="1" si="73"/>
        <v>T62</v>
      </c>
      <c r="D616" s="906" t="s">
        <v>1365</v>
      </c>
      <c r="E616" s="906" t="s">
        <v>1535</v>
      </c>
      <c r="F616" s="923" t="s">
        <v>1507</v>
      </c>
      <c r="G616" s="1480" t="str">
        <f>IF(T616&lt;&gt;"","AW","")</f>
        <v/>
      </c>
      <c r="H616" s="1480" t="s">
        <v>2063</v>
      </c>
      <c r="I616" s="1427" t="str">
        <f t="shared" si="64"/>
        <v/>
      </c>
      <c r="J616" s="1480" t="str">
        <f t="shared" si="71"/>
        <v/>
      </c>
      <c r="K616" s="1480" t="str">
        <f t="shared" si="65"/>
        <v/>
      </c>
      <c r="L616" s="906" t="s">
        <v>1507</v>
      </c>
      <c r="M616" s="1480">
        <v>599</v>
      </c>
      <c r="N616" s="1480"/>
      <c r="O616" s="1477"/>
      <c r="P616" s="1477"/>
      <c r="Q616" s="1477"/>
      <c r="R616" s="1480" t="s">
        <v>857</v>
      </c>
      <c r="S616" s="1477"/>
      <c r="T616" s="1480" t="str">
        <f t="shared" si="70"/>
        <v/>
      </c>
      <c r="U616" s="1477"/>
      <c r="V616" s="1477"/>
      <c r="W616" s="1477"/>
      <c r="X616" s="1477"/>
      <c r="Y616" s="1477"/>
      <c r="Z616" s="1477"/>
    </row>
    <row r="617" spans="1:26"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80" t="s">
        <v>1401</v>
      </c>
      <c r="G617" s="1480" t="str">
        <f>IF(T617&lt;&gt;"","C","")</f>
        <v/>
      </c>
      <c r="H617" s="1480" t="s">
        <v>2063</v>
      </c>
      <c r="I617" s="1427" t="str">
        <f t="shared" si="64"/>
        <v/>
      </c>
      <c r="J617" s="1480"/>
      <c r="K617" s="1480" t="str">
        <f t="shared" si="65"/>
        <v/>
      </c>
      <c r="L617" s="906" t="s">
        <v>1401</v>
      </c>
      <c r="M617" s="1480">
        <v>600</v>
      </c>
      <c r="N617" s="1480"/>
      <c r="O617" s="1477"/>
      <c r="P617" s="1477"/>
      <c r="Q617" s="1477"/>
      <c r="R617" s="1480" t="s">
        <v>857</v>
      </c>
      <c r="S617" s="1477"/>
      <c r="T617" s="1480" t="str">
        <f t="shared" si="70"/>
        <v/>
      </c>
      <c r="U617" s="1477"/>
      <c r="V617" s="1477"/>
      <c r="W617" s="1477"/>
      <c r="X617" s="1477"/>
      <c r="Y617" s="1477"/>
      <c r="Z617" s="1477"/>
    </row>
    <row r="618" spans="1:26"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80" t="s">
        <v>1402</v>
      </c>
      <c r="G618" s="1480" t="str">
        <f>IF(T618&lt;&gt;"","D","")</f>
        <v/>
      </c>
      <c r="H618" s="1480" t="s">
        <v>2063</v>
      </c>
      <c r="I618" s="1427" t="str">
        <f t="shared" si="64"/>
        <v/>
      </c>
      <c r="J618" s="1480"/>
      <c r="K618" s="1480" t="str">
        <f t="shared" si="65"/>
        <v/>
      </c>
      <c r="L618" s="906" t="s">
        <v>1402</v>
      </c>
      <c r="M618" s="1480">
        <v>601</v>
      </c>
      <c r="N618" s="1480"/>
      <c r="O618" s="1477"/>
      <c r="P618" s="1477"/>
      <c r="Q618" s="1477"/>
      <c r="R618" s="1480" t="s">
        <v>857</v>
      </c>
      <c r="S618" s="1477"/>
      <c r="T618" s="1480" t="str">
        <f t="shared" si="70"/>
        <v/>
      </c>
      <c r="U618" s="1477"/>
      <c r="V618" s="1477"/>
      <c r="W618" s="1477"/>
      <c r="X618" s="1477"/>
      <c r="Y618" s="1477"/>
      <c r="Z618" s="1477"/>
    </row>
    <row r="619" spans="1:26"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80" t="s">
        <v>1514</v>
      </c>
      <c r="G619" s="1480" t="str">
        <f>IF(T619&lt;&gt;"","AN","")</f>
        <v/>
      </c>
      <c r="H619" s="1480" t="s">
        <v>2063</v>
      </c>
      <c r="I619" s="1427" t="str">
        <f t="shared" si="64"/>
        <v/>
      </c>
      <c r="J619" s="1480" t="str">
        <f t="shared" si="71"/>
        <v/>
      </c>
      <c r="K619" s="1480" t="str">
        <f t="shared" si="65"/>
        <v/>
      </c>
      <c r="L619" s="906" t="s">
        <v>1514</v>
      </c>
      <c r="M619" s="1480">
        <v>602</v>
      </c>
      <c r="N619" s="1480"/>
      <c r="O619" s="1477"/>
      <c r="P619" s="1484" t="str" cm="1">
        <f t="array" aca="1" ref="P619" ca="1">_xlfn.CONCAT("F",RIGHT(B619, LEN(B619) - MAX(IF(ISNUMBER(MID(B619, ROW(INDIRECT("1:"&amp;LEN(B619))), 1) *1)=FALSE, ROW(INDIRECT("1:"&amp;LEN(B619))), 0))))</f>
        <v>F71</v>
      </c>
      <c r="Q619" s="1480" t="str" cm="1">
        <f t="array" aca="1" ref="Q619" ca="1">_xlfn.CONCAT("E",RIGHT(C619, LEN(C619) - MAX(IF(ISNUMBER(MID(C619, ROW(INDIRECT("1:"&amp;LEN(C619))), 1) *1)=FALSE, ROW(INDIRECT("1:"&amp;LEN(C619))), 0))))</f>
        <v>E71</v>
      </c>
      <c r="R619" s="1480" t="s">
        <v>857</v>
      </c>
      <c r="S619" s="1477"/>
      <c r="T619" s="1480" t="str">
        <f t="shared" si="70"/>
        <v/>
      </c>
      <c r="U619" s="1477"/>
      <c r="V619" s="1477"/>
      <c r="W619" s="1477"/>
      <c r="X619" s="1477"/>
      <c r="Y619" s="1477"/>
      <c r="Z619" s="1477"/>
    </row>
    <row r="620" spans="1:26"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80" t="s">
        <v>1511</v>
      </c>
      <c r="G620" s="1480" t="str">
        <f>IF(T620&lt;&gt;"","AL","")</f>
        <v/>
      </c>
      <c r="H620" s="1480" t="s">
        <v>2063</v>
      </c>
      <c r="I620" s="1427" t="str">
        <f t="shared" si="64"/>
        <v/>
      </c>
      <c r="J620" s="1480" t="str">
        <f t="shared" si="71"/>
        <v/>
      </c>
      <c r="K620" s="1480" t="str">
        <f t="shared" si="65"/>
        <v/>
      </c>
      <c r="L620" s="906" t="s">
        <v>1511</v>
      </c>
      <c r="M620" s="1480">
        <v>603</v>
      </c>
      <c r="N620" s="1480"/>
      <c r="O620" s="1477"/>
      <c r="P620" s="1477"/>
      <c r="Q620" s="1477"/>
      <c r="R620" s="1480" t="s">
        <v>857</v>
      </c>
      <c r="S620" s="1477"/>
      <c r="T620" s="1480" t="str">
        <f t="shared" si="70"/>
        <v/>
      </c>
      <c r="U620" s="1477"/>
      <c r="V620" s="1477"/>
      <c r="W620" s="1477"/>
      <c r="X620" s="1477"/>
      <c r="Y620" s="1477"/>
      <c r="Z620" s="1477"/>
    </row>
    <row r="621" spans="1:26"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80" t="s">
        <v>2069</v>
      </c>
      <c r="G621" s="1480" t="str">
        <f>IF(T621&lt;&gt;"","L","")</f>
        <v/>
      </c>
      <c r="H621" s="1480" t="s">
        <v>2063</v>
      </c>
      <c r="I621" s="1427" t="str">
        <f t="shared" si="64"/>
        <v/>
      </c>
      <c r="J621" s="1480" t="str">
        <f t="shared" si="71"/>
        <v/>
      </c>
      <c r="K621" s="1480" t="str">
        <f t="shared" si="65"/>
        <v/>
      </c>
      <c r="L621" s="906" t="s">
        <v>1525</v>
      </c>
      <c r="M621" s="1480">
        <v>604</v>
      </c>
      <c r="N621" s="1480"/>
      <c r="O621" s="1477"/>
      <c r="P621" s="1477"/>
      <c r="Q621" s="1477"/>
      <c r="R621" s="1480" t="s">
        <v>857</v>
      </c>
      <c r="S621" s="1477"/>
      <c r="T621" s="1480" t="str">
        <f>IF(Q$608="Yes",5,"")</f>
        <v/>
      </c>
      <c r="U621" s="1477"/>
      <c r="V621" s="1477"/>
      <c r="W621" s="1477"/>
      <c r="X621" s="1477"/>
      <c r="Y621" s="1477"/>
      <c r="Z621" s="1477"/>
    </row>
    <row r="622" spans="1:26"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80"/>
      <c r="H622" s="1480"/>
      <c r="I622" s="1427" t="str">
        <f t="shared" si="64"/>
        <v/>
      </c>
      <c r="J622" s="1480" t="str">
        <f t="shared" si="71"/>
        <v/>
      </c>
      <c r="K622" s="1480" t="str">
        <f t="shared" si="65"/>
        <v/>
      </c>
      <c r="L622" s="906" t="s">
        <v>1403</v>
      </c>
      <c r="M622" s="1480">
        <v>605</v>
      </c>
      <c r="N622" s="1480"/>
      <c r="O622" s="1477"/>
      <c r="P622" s="1477"/>
      <c r="Q622" s="1477"/>
      <c r="R622" s="1480" t="s">
        <v>857</v>
      </c>
      <c r="S622" s="1477"/>
      <c r="T622" s="1480" t="str">
        <f t="shared" ref="T622:T637" si="74">IF(Q$608="Yes",5,"")</f>
        <v/>
      </c>
      <c r="U622" s="1477"/>
      <c r="V622" s="1477"/>
      <c r="W622" s="1477"/>
      <c r="X622" s="1477"/>
      <c r="Y622" s="1477"/>
      <c r="Z622" s="1477"/>
    </row>
    <row r="623" spans="1:26" x14ac:dyDescent="0.25">
      <c r="A623" s="929" t="s">
        <v>1404</v>
      </c>
      <c r="B623" s="906" t="str">
        <f ca="1">_xlfn.IFNA(_xlfn.CONCAT(SUBSTITUTE(ADDRESS(1,MATCH(A623,INDIRECT("'"&amp;E623&amp;"'"&amp;"!A" &amp; $O$608+5 &amp; ":Z" &amp; $O$608+5),0),4),1,""),$O$608+6),"")</f>
        <v>J65</v>
      </c>
      <c r="C623" s="906" t="str">
        <f t="shared" ref="C623:C636" ca="1" si="75">_xlfn.IFNA(SUBSTITUTE(ADDRESS(1,MATCH(A623,INDIRECT("'"&amp;E623&amp;"'"&amp;"!A" &amp; O$608+5 &amp; ":Z" &amp; O$608+5),0),4),1,""),"")</f>
        <v>J</v>
      </c>
      <c r="D623" s="906" t="s">
        <v>1372</v>
      </c>
      <c r="E623" s="906" t="s">
        <v>1535</v>
      </c>
      <c r="F623" s="923"/>
      <c r="G623" s="1480"/>
      <c r="H623" s="1480"/>
      <c r="I623" s="1427" t="str">
        <f t="shared" si="64"/>
        <v/>
      </c>
      <c r="J623" s="1480"/>
      <c r="K623" s="1480" t="str">
        <f t="shared" si="65"/>
        <v/>
      </c>
      <c r="L623" s="906" t="s">
        <v>1404</v>
      </c>
      <c r="M623" s="1480">
        <v>606</v>
      </c>
      <c r="N623" s="1480"/>
      <c r="O623" s="1477"/>
      <c r="P623" s="1477"/>
      <c r="Q623" s="1477"/>
      <c r="R623" s="1480" t="s">
        <v>857</v>
      </c>
      <c r="S623" s="1477"/>
      <c r="T623" s="1480" t="str">
        <f t="shared" si="74"/>
        <v/>
      </c>
      <c r="U623" s="1477"/>
      <c r="V623" s="1477"/>
      <c r="W623" s="1477"/>
      <c r="X623" s="1477"/>
      <c r="Y623" s="1477"/>
      <c r="Z623" s="1477"/>
    </row>
    <row r="624" spans="1:26" x14ac:dyDescent="0.25">
      <c r="A624" s="929" t="s">
        <v>1405</v>
      </c>
      <c r="B624" s="906" t="str">
        <f ca="1">_xlfn.IFNA(_xlfn.CONCAT(SUBSTITUTE(ADDRESS(1,MATCH(A624,INDIRECT("'"&amp;E624&amp;"'"&amp;"!A" &amp; $O$608+5 &amp; ":Z" &amp; $O$608+5),0),4),1,""),$O$608+6),"")</f>
        <v>L65</v>
      </c>
      <c r="C624" s="906" t="str">
        <f t="shared" ca="1" si="75"/>
        <v>L</v>
      </c>
      <c r="D624" s="906" t="s">
        <v>1372</v>
      </c>
      <c r="E624" s="906" t="s">
        <v>1535</v>
      </c>
      <c r="F624" s="1192"/>
      <c r="G624" s="1480"/>
      <c r="H624" s="1480"/>
      <c r="I624" s="1427" t="str">
        <f t="shared" si="64"/>
        <v/>
      </c>
      <c r="J624" s="1480"/>
      <c r="K624" s="1480" t="str">
        <f t="shared" si="65"/>
        <v/>
      </c>
      <c r="L624" s="906" t="s">
        <v>1405</v>
      </c>
      <c r="M624" s="1480">
        <v>607</v>
      </c>
      <c r="N624" s="1480"/>
      <c r="O624" s="1477"/>
      <c r="P624" s="1477"/>
      <c r="Q624" s="1477"/>
      <c r="R624" s="1480" t="s">
        <v>857</v>
      </c>
      <c r="S624" s="1477"/>
      <c r="T624" s="1480" t="str">
        <f t="shared" si="74"/>
        <v/>
      </c>
      <c r="U624" s="1477"/>
      <c r="V624" s="1477"/>
      <c r="W624" s="1477"/>
      <c r="X624" s="1477"/>
      <c r="Y624" s="1477"/>
      <c r="Z624" s="1477"/>
    </row>
    <row r="625" spans="1:26" x14ac:dyDescent="0.25">
      <c r="A625" s="929" t="s">
        <v>1403</v>
      </c>
      <c r="B625" s="906" t="str">
        <f ca="1">_xlfn.IFNA(_xlfn.CONCAT(SUBSTITUTE(ADDRESS(1,MATCH(A625,INDIRECT("'"&amp;E625&amp;"'"&amp;"!A" &amp; $O$608+5 &amp; ":Z" &amp; $O$608+5),0),4),1,""),$O$608+7),"")</f>
        <v>H66</v>
      </c>
      <c r="C625" s="906" t="str">
        <f t="shared" ca="1" si="75"/>
        <v>H</v>
      </c>
      <c r="D625" s="906" t="s">
        <v>1372</v>
      </c>
      <c r="E625" s="906" t="s">
        <v>1535</v>
      </c>
      <c r="F625" s="1480"/>
      <c r="G625" s="1480"/>
      <c r="H625" s="1480"/>
      <c r="I625" s="1427" t="str">
        <f t="shared" si="64"/>
        <v/>
      </c>
      <c r="J625" s="1480" t="str">
        <f t="shared" si="71"/>
        <v/>
      </c>
      <c r="K625" s="1480" t="str">
        <f t="shared" si="65"/>
        <v/>
      </c>
      <c r="L625" s="906" t="s">
        <v>1403</v>
      </c>
      <c r="M625" s="1480">
        <v>608</v>
      </c>
      <c r="N625" s="1480"/>
      <c r="O625" s="1477"/>
      <c r="P625" s="1477"/>
      <c r="Q625" s="1477"/>
      <c r="R625" s="1480" t="s">
        <v>857</v>
      </c>
      <c r="S625" s="1477"/>
      <c r="T625" s="1480" t="str">
        <f t="shared" si="74"/>
        <v/>
      </c>
      <c r="U625" s="1477"/>
      <c r="V625" s="1477"/>
      <c r="W625" s="1477"/>
      <c r="X625" s="1477"/>
      <c r="Y625" s="1477"/>
      <c r="Z625" s="1477"/>
    </row>
    <row r="626" spans="1:26" x14ac:dyDescent="0.25">
      <c r="A626" s="929" t="s">
        <v>1404</v>
      </c>
      <c r="B626" s="906" t="str">
        <f ca="1">_xlfn.IFNA(_xlfn.CONCAT(SUBSTITUTE(ADDRESS(1,MATCH(A626,INDIRECT("'"&amp;E626&amp;"'"&amp;"!A" &amp; $O$608+5 &amp; ":Z" &amp; $O$608+5),0),4),1,""),$O$608+7),"")</f>
        <v>J66</v>
      </c>
      <c r="C626" s="906" t="str">
        <f t="shared" ca="1" si="75"/>
        <v>J</v>
      </c>
      <c r="D626" s="906" t="s">
        <v>1372</v>
      </c>
      <c r="E626" s="906" t="s">
        <v>1535</v>
      </c>
      <c r="F626" s="1480"/>
      <c r="G626" s="1480"/>
      <c r="H626" s="1480"/>
      <c r="I626" s="1427" t="str">
        <f t="shared" si="64"/>
        <v/>
      </c>
      <c r="J626" s="1480"/>
      <c r="K626" s="1480" t="str">
        <f t="shared" si="65"/>
        <v/>
      </c>
      <c r="L626" s="906" t="s">
        <v>1404</v>
      </c>
      <c r="M626" s="1480">
        <v>609</v>
      </c>
      <c r="N626" s="1480"/>
      <c r="O626" s="1477"/>
      <c r="P626" s="1477"/>
      <c r="Q626" s="1477"/>
      <c r="R626" s="1480" t="s">
        <v>857</v>
      </c>
      <c r="S626" s="1477"/>
      <c r="T626" s="1480" t="str">
        <f t="shared" si="74"/>
        <v/>
      </c>
      <c r="U626" s="1477"/>
      <c r="V626" s="1477"/>
      <c r="W626" s="1477"/>
      <c r="X626" s="1477"/>
      <c r="Y626" s="1477"/>
      <c r="Z626" s="1477"/>
    </row>
    <row r="627" spans="1:26" x14ac:dyDescent="0.25">
      <c r="A627" s="929" t="s">
        <v>1405</v>
      </c>
      <c r="B627" s="906" t="str">
        <f ca="1">_xlfn.IFNA(_xlfn.CONCAT(SUBSTITUTE(ADDRESS(1,MATCH(A627,INDIRECT("'"&amp;E627&amp;"'"&amp;"!A" &amp; $O$608+5 &amp; ":Z" &amp; $O$608+5),0),4),1,""),$O$608+7),"")</f>
        <v>L66</v>
      </c>
      <c r="C627" s="906" t="str">
        <f t="shared" ca="1" si="75"/>
        <v>L</v>
      </c>
      <c r="D627" s="906" t="s">
        <v>1372</v>
      </c>
      <c r="E627" s="906" t="s">
        <v>1535</v>
      </c>
      <c r="F627" s="1480"/>
      <c r="G627" s="1480"/>
      <c r="H627" s="1480"/>
      <c r="I627" s="1427" t="str">
        <f t="shared" si="64"/>
        <v/>
      </c>
      <c r="J627" s="1480"/>
      <c r="K627" s="1480" t="str">
        <f t="shared" si="65"/>
        <v/>
      </c>
      <c r="L627" s="906" t="s">
        <v>1405</v>
      </c>
      <c r="M627" s="1480">
        <v>610</v>
      </c>
      <c r="N627" s="1480"/>
      <c r="O627" s="1477"/>
      <c r="P627" s="1477"/>
      <c r="Q627" s="1477"/>
      <c r="R627" s="1480" t="s">
        <v>857</v>
      </c>
      <c r="S627" s="1477"/>
      <c r="T627" s="1480" t="str">
        <f t="shared" si="74"/>
        <v/>
      </c>
      <c r="U627" s="1477"/>
      <c r="V627" s="1477"/>
      <c r="W627" s="1477"/>
      <c r="X627" s="1477"/>
      <c r="Y627" s="1477"/>
      <c r="Z627" s="1477"/>
    </row>
    <row r="628" spans="1:26" x14ac:dyDescent="0.25">
      <c r="A628" s="929" t="s">
        <v>1403</v>
      </c>
      <c r="B628" s="906" t="str">
        <f ca="1">_xlfn.IFNA(_xlfn.CONCAT(SUBSTITUTE(ADDRESS(1,MATCH(A628,INDIRECT("'"&amp;E628&amp;"'"&amp;"!A" &amp; $O$608+5 &amp; ":Z" &amp; $O$608+5),0),4),1,""),$O$608+8),"")</f>
        <v>H67</v>
      </c>
      <c r="C628" s="906" t="str">
        <f t="shared" ca="1" si="75"/>
        <v>H</v>
      </c>
      <c r="D628" s="906" t="s">
        <v>1372</v>
      </c>
      <c r="E628" s="906" t="s">
        <v>1535</v>
      </c>
      <c r="F628" s="1480"/>
      <c r="G628" s="1480"/>
      <c r="H628" s="1480"/>
      <c r="I628" s="1427" t="str">
        <f t="shared" si="64"/>
        <v/>
      </c>
      <c r="J628" s="1480" t="str">
        <f t="shared" si="71"/>
        <v/>
      </c>
      <c r="K628" s="1480" t="str">
        <f t="shared" si="65"/>
        <v/>
      </c>
      <c r="L628" s="906" t="s">
        <v>1403</v>
      </c>
      <c r="M628" s="1480">
        <v>611</v>
      </c>
      <c r="N628" s="1480"/>
      <c r="O628" s="1477"/>
      <c r="P628" s="1477"/>
      <c r="Q628" s="1477"/>
      <c r="R628" s="1480" t="s">
        <v>857</v>
      </c>
      <c r="S628" s="1477"/>
      <c r="T628" s="1480" t="str">
        <f t="shared" si="74"/>
        <v/>
      </c>
      <c r="U628" s="1477"/>
      <c r="V628" s="1477"/>
      <c r="W628" s="1477"/>
      <c r="X628" s="1477"/>
      <c r="Y628" s="1477"/>
      <c r="Z628" s="1477"/>
    </row>
    <row r="629" spans="1:26" x14ac:dyDescent="0.25">
      <c r="A629" s="929" t="s">
        <v>1404</v>
      </c>
      <c r="B629" s="906" t="str">
        <f ca="1">_xlfn.IFNA(_xlfn.CONCAT(SUBSTITUTE(ADDRESS(1,MATCH(A629,INDIRECT("'"&amp;E629&amp;"'"&amp;"!A" &amp; $O$608+5 &amp; ":Z" &amp; $O$608+5),0),4),1,""),$O$608+8),"")</f>
        <v>J67</v>
      </c>
      <c r="C629" s="906" t="str">
        <f t="shared" ca="1" si="75"/>
        <v>J</v>
      </c>
      <c r="D629" s="906" t="s">
        <v>1372</v>
      </c>
      <c r="E629" s="906" t="s">
        <v>1535</v>
      </c>
      <c r="F629" s="1480"/>
      <c r="G629" s="1480"/>
      <c r="H629" s="1480"/>
      <c r="I629" s="1427" t="str">
        <f t="shared" si="64"/>
        <v/>
      </c>
      <c r="J629" s="1480"/>
      <c r="K629" s="1480" t="str">
        <f t="shared" si="65"/>
        <v/>
      </c>
      <c r="L629" s="906" t="s">
        <v>1404</v>
      </c>
      <c r="M629" s="1480">
        <v>612</v>
      </c>
      <c r="N629" s="1480"/>
      <c r="O629" s="1477"/>
      <c r="P629" s="1477"/>
      <c r="Q629" s="1477"/>
      <c r="R629" s="1480" t="s">
        <v>857</v>
      </c>
      <c r="S629" s="1477"/>
      <c r="T629" s="1480" t="str">
        <f t="shared" si="74"/>
        <v/>
      </c>
      <c r="U629" s="1477"/>
      <c r="V629" s="1477"/>
      <c r="W629" s="1477"/>
      <c r="X629" s="1477"/>
      <c r="Y629" s="1477"/>
      <c r="Z629" s="1477"/>
    </row>
    <row r="630" spans="1:26" x14ac:dyDescent="0.25">
      <c r="A630" s="929" t="s">
        <v>1405</v>
      </c>
      <c r="B630" s="906" t="str">
        <f ca="1">_xlfn.IFNA(_xlfn.CONCAT(SUBSTITUTE(ADDRESS(1,MATCH(A630,INDIRECT("'"&amp;E630&amp;"'"&amp;"!A" &amp; $O$608+5 &amp; ":Z" &amp; $O$608+5),0),4),1,""),$O$608+8),"")</f>
        <v>L67</v>
      </c>
      <c r="C630" s="906" t="str">
        <f t="shared" ca="1" si="75"/>
        <v>L</v>
      </c>
      <c r="D630" s="906" t="s">
        <v>1372</v>
      </c>
      <c r="E630" s="906" t="s">
        <v>1535</v>
      </c>
      <c r="F630" s="1480"/>
      <c r="G630" s="1480"/>
      <c r="H630" s="1480"/>
      <c r="I630" s="1427" t="str">
        <f t="shared" si="64"/>
        <v/>
      </c>
      <c r="J630" s="1480"/>
      <c r="K630" s="1480" t="str">
        <f t="shared" si="65"/>
        <v/>
      </c>
      <c r="L630" s="906" t="s">
        <v>1405</v>
      </c>
      <c r="M630" s="1480">
        <v>613</v>
      </c>
      <c r="N630" s="1480"/>
      <c r="O630" s="1477"/>
      <c r="P630" s="1477"/>
      <c r="Q630" s="1477"/>
      <c r="R630" s="1480" t="s">
        <v>857</v>
      </c>
      <c r="S630" s="1477"/>
      <c r="T630" s="1480" t="str">
        <f t="shared" si="74"/>
        <v/>
      </c>
      <c r="U630" s="1477"/>
      <c r="V630" s="1477"/>
      <c r="W630" s="1477"/>
      <c r="X630" s="1477"/>
      <c r="Y630" s="1477"/>
      <c r="Z630" s="1477"/>
    </row>
    <row r="631" spans="1:26" x14ac:dyDescent="0.25">
      <c r="A631" s="929" t="s">
        <v>1403</v>
      </c>
      <c r="B631" s="906" t="str">
        <f ca="1">_xlfn.IFNA(_xlfn.CONCAT(SUBSTITUTE(ADDRESS(1,MATCH(A631,INDIRECT("'"&amp;E631&amp;"'"&amp;"!A" &amp; $O$608+5 &amp; ":Z" &amp; $O$608+5),0),4),1,""),$O$608+9),"")</f>
        <v>H68</v>
      </c>
      <c r="C631" s="906" t="str">
        <f t="shared" ca="1" si="75"/>
        <v>H</v>
      </c>
      <c r="D631" s="906" t="s">
        <v>1372</v>
      </c>
      <c r="E631" s="906" t="s">
        <v>1535</v>
      </c>
      <c r="F631" s="1480"/>
      <c r="G631" s="1480"/>
      <c r="H631" s="1480"/>
      <c r="I631" s="1427" t="str">
        <f t="shared" si="64"/>
        <v/>
      </c>
      <c r="J631" s="1480" t="str">
        <f t="shared" si="71"/>
        <v/>
      </c>
      <c r="K631" s="1480" t="str">
        <f t="shared" si="65"/>
        <v/>
      </c>
      <c r="L631" s="906" t="s">
        <v>1403</v>
      </c>
      <c r="M631" s="1480">
        <v>614</v>
      </c>
      <c r="N631" s="1480"/>
      <c r="O631" s="1477"/>
      <c r="P631" s="1477"/>
      <c r="Q631" s="1477"/>
      <c r="R631" s="1480" t="s">
        <v>857</v>
      </c>
      <c r="S631" s="1477"/>
      <c r="T631" s="1480" t="str">
        <f t="shared" si="74"/>
        <v/>
      </c>
      <c r="U631" s="1477"/>
      <c r="V631" s="1477"/>
      <c r="W631" s="1477"/>
      <c r="X631" s="1477"/>
      <c r="Y631" s="1477"/>
      <c r="Z631" s="1477"/>
    </row>
    <row r="632" spans="1:26" x14ac:dyDescent="0.25">
      <c r="A632" s="929" t="s">
        <v>1404</v>
      </c>
      <c r="B632" s="906" t="str">
        <f ca="1">_xlfn.IFNA(_xlfn.CONCAT(SUBSTITUTE(ADDRESS(1,MATCH(A632,INDIRECT("'"&amp;E632&amp;"'"&amp;"!A" &amp; $O$608+5 &amp; ":Z" &amp; $O$608+5),0),4),1,""),$O$608+9),"")</f>
        <v>J68</v>
      </c>
      <c r="C632" s="906" t="str">
        <f t="shared" ca="1" si="75"/>
        <v>J</v>
      </c>
      <c r="D632" s="906" t="s">
        <v>1372</v>
      </c>
      <c r="E632" s="906" t="s">
        <v>1535</v>
      </c>
      <c r="F632" s="1480"/>
      <c r="G632" s="1480"/>
      <c r="H632" s="1480"/>
      <c r="I632" s="1427" t="str">
        <f t="shared" si="64"/>
        <v/>
      </c>
      <c r="J632" s="1480"/>
      <c r="K632" s="1480" t="str">
        <f t="shared" si="65"/>
        <v/>
      </c>
      <c r="L632" s="906" t="s">
        <v>1404</v>
      </c>
      <c r="M632" s="1480">
        <v>615</v>
      </c>
      <c r="N632" s="1480"/>
      <c r="O632" s="1477"/>
      <c r="P632" s="1477"/>
      <c r="Q632" s="1477"/>
      <c r="R632" s="1480" t="s">
        <v>857</v>
      </c>
      <c r="S632" s="1477"/>
      <c r="T632" s="1480" t="str">
        <f t="shared" si="74"/>
        <v/>
      </c>
      <c r="U632" s="1477"/>
      <c r="V632" s="1477"/>
      <c r="W632" s="1477"/>
      <c r="X632" s="1477"/>
      <c r="Y632" s="1477"/>
      <c r="Z632" s="1477"/>
    </row>
    <row r="633" spans="1:26" x14ac:dyDescent="0.25">
      <c r="A633" s="929" t="s">
        <v>1405</v>
      </c>
      <c r="B633" s="906" t="str">
        <f ca="1">_xlfn.IFNA(_xlfn.CONCAT(SUBSTITUTE(ADDRESS(1,MATCH(A633,INDIRECT("'"&amp;E633&amp;"'"&amp;"!A" &amp; $O$608+5 &amp; ":Z" &amp; $O$608+5),0),4),1,""),$O$608+9),"")</f>
        <v>L68</v>
      </c>
      <c r="C633" s="906" t="str">
        <f t="shared" ca="1" si="75"/>
        <v>L</v>
      </c>
      <c r="D633" s="906" t="s">
        <v>1372</v>
      </c>
      <c r="E633" s="906" t="s">
        <v>1535</v>
      </c>
      <c r="F633" s="1480"/>
      <c r="G633" s="1480"/>
      <c r="H633" s="1480"/>
      <c r="I633" s="1427" t="str">
        <f t="shared" si="64"/>
        <v/>
      </c>
      <c r="J633" s="1480"/>
      <c r="K633" s="1480" t="str">
        <f t="shared" si="65"/>
        <v/>
      </c>
      <c r="L633" s="906" t="s">
        <v>1405</v>
      </c>
      <c r="M633" s="1480">
        <v>616</v>
      </c>
      <c r="N633" s="1480"/>
      <c r="O633" s="1477"/>
      <c r="P633" s="1477"/>
      <c r="Q633" s="1477"/>
      <c r="R633" s="1480" t="s">
        <v>857</v>
      </c>
      <c r="S633" s="1477"/>
      <c r="T633" s="1480" t="str">
        <f t="shared" si="74"/>
        <v/>
      </c>
      <c r="U633" s="1477"/>
      <c r="V633" s="1477"/>
      <c r="W633" s="1477"/>
      <c r="X633" s="1477"/>
      <c r="Y633" s="1477"/>
      <c r="Z633" s="1477"/>
    </row>
    <row r="634" spans="1:26" x14ac:dyDescent="0.25">
      <c r="A634" s="929" t="s">
        <v>1403</v>
      </c>
      <c r="B634" s="906" t="str">
        <f ca="1">_xlfn.IFNA(_xlfn.CONCAT(SUBSTITUTE(ADDRESS(1,MATCH(A634,INDIRECT("'"&amp;E634&amp;"'"&amp;"!A" &amp; $O$608+5 &amp; ":Z" &amp; $O$608+5),0),4),1,""),$O$608+10),"")</f>
        <v>H69</v>
      </c>
      <c r="C634" s="906" t="str">
        <f t="shared" ca="1" si="75"/>
        <v>H</v>
      </c>
      <c r="D634" s="906" t="s">
        <v>1372</v>
      </c>
      <c r="E634" s="906" t="s">
        <v>1535</v>
      </c>
      <c r="F634" s="1480"/>
      <c r="G634" s="1480"/>
      <c r="H634" s="1480"/>
      <c r="I634" s="1427" t="str">
        <f t="shared" si="64"/>
        <v/>
      </c>
      <c r="J634" s="1480" t="str">
        <f t="shared" si="71"/>
        <v/>
      </c>
      <c r="K634" s="1480" t="str">
        <f t="shared" si="65"/>
        <v/>
      </c>
      <c r="L634" s="906" t="s">
        <v>1403</v>
      </c>
      <c r="M634" s="1480">
        <v>617</v>
      </c>
      <c r="N634" s="1480"/>
      <c r="O634" s="1477"/>
      <c r="P634" s="1477"/>
      <c r="Q634" s="1477"/>
      <c r="R634" s="1480" t="s">
        <v>857</v>
      </c>
      <c r="S634" s="1477"/>
      <c r="T634" s="1480" t="str">
        <f t="shared" si="74"/>
        <v/>
      </c>
      <c r="U634" s="1477"/>
      <c r="V634" s="1477"/>
      <c r="W634" s="1477"/>
      <c r="X634" s="1477"/>
      <c r="Y634" s="1477"/>
      <c r="Z634" s="1477"/>
    </row>
    <row r="635" spans="1:26" x14ac:dyDescent="0.25">
      <c r="A635" s="929" t="s">
        <v>1404</v>
      </c>
      <c r="B635" s="906" t="str">
        <f ca="1">_xlfn.IFNA(_xlfn.CONCAT(SUBSTITUTE(ADDRESS(1,MATCH(A635,INDIRECT("'"&amp;E635&amp;"'"&amp;"!A" &amp; $O$608+5 &amp; ":Z" &amp; $O$608+5),0),4),1,""),$O$608+10),"")</f>
        <v>J69</v>
      </c>
      <c r="C635" s="906" t="str">
        <f t="shared" ca="1" si="75"/>
        <v>J</v>
      </c>
      <c r="D635" s="906" t="s">
        <v>1372</v>
      </c>
      <c r="E635" s="906" t="s">
        <v>1535</v>
      </c>
      <c r="F635" s="1480"/>
      <c r="G635" s="1480"/>
      <c r="H635" s="1480"/>
      <c r="I635" s="1427" t="str">
        <f t="shared" si="64"/>
        <v/>
      </c>
      <c r="J635" s="1480"/>
      <c r="K635" s="1480" t="str">
        <f t="shared" si="65"/>
        <v/>
      </c>
      <c r="L635" s="906" t="s">
        <v>1404</v>
      </c>
      <c r="M635" s="1480">
        <v>618</v>
      </c>
      <c r="N635" s="1480"/>
      <c r="O635" s="1477"/>
      <c r="P635" s="1477"/>
      <c r="Q635" s="1477"/>
      <c r="R635" s="1480" t="s">
        <v>857</v>
      </c>
      <c r="S635" s="1477"/>
      <c r="T635" s="1480" t="str">
        <f t="shared" si="74"/>
        <v/>
      </c>
      <c r="U635" s="1477"/>
      <c r="V635" s="1477"/>
      <c r="W635" s="1477"/>
      <c r="X635" s="1477"/>
      <c r="Y635" s="1477"/>
      <c r="Z635" s="1477"/>
    </row>
    <row r="636" spans="1:26" x14ac:dyDescent="0.25">
      <c r="A636" s="929" t="s">
        <v>1405</v>
      </c>
      <c r="B636" s="906" t="str">
        <f ca="1">_xlfn.IFNA(_xlfn.CONCAT(SUBSTITUTE(ADDRESS(1,MATCH(A636,INDIRECT("'"&amp;E636&amp;"'"&amp;"!A" &amp; $O$608+5 &amp; ":Z" &amp; $O$608+5),0),4),1,""),$O$608+10),"")</f>
        <v>L69</v>
      </c>
      <c r="C636" s="906" t="str">
        <f t="shared" ca="1" si="75"/>
        <v>L</v>
      </c>
      <c r="D636" s="906" t="s">
        <v>1372</v>
      </c>
      <c r="E636" s="906" t="s">
        <v>1535</v>
      </c>
      <c r="F636" s="1480"/>
      <c r="G636" s="1480"/>
      <c r="H636" s="1480"/>
      <c r="I636" s="1427" t="str">
        <f t="shared" si="64"/>
        <v/>
      </c>
      <c r="J636" s="1480"/>
      <c r="K636" s="1480" t="str">
        <f t="shared" si="65"/>
        <v/>
      </c>
      <c r="L636" s="906" t="s">
        <v>1405</v>
      </c>
      <c r="M636" s="1480">
        <v>619</v>
      </c>
      <c r="N636" s="1480"/>
      <c r="O636" s="1477"/>
      <c r="P636" s="1477"/>
      <c r="Q636" s="1477"/>
      <c r="R636" s="1480" t="s">
        <v>857</v>
      </c>
      <c r="S636" s="1477"/>
      <c r="T636" s="1480" t="str">
        <f t="shared" si="74"/>
        <v/>
      </c>
      <c r="U636" s="1477"/>
      <c r="V636" s="1477"/>
      <c r="W636" s="1477"/>
      <c r="X636" s="1477"/>
      <c r="Y636" s="1477"/>
      <c r="Z636" s="1477"/>
    </row>
    <row r="637" spans="1:26"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80" t="s">
        <v>1527</v>
      </c>
      <c r="G637" s="1480" t="str">
        <f>IF(T637&lt;&gt;"","P","")</f>
        <v/>
      </c>
      <c r="H637" s="1480" t="s">
        <v>2063</v>
      </c>
      <c r="I637" s="1427" t="str">
        <f t="shared" si="64"/>
        <v/>
      </c>
      <c r="J637" s="1480" t="str">
        <f t="shared" si="71"/>
        <v/>
      </c>
      <c r="K637" s="1480" t="str">
        <f t="shared" si="65"/>
        <v/>
      </c>
      <c r="L637" s="906" t="s">
        <v>1527</v>
      </c>
      <c r="M637" s="1480">
        <v>620</v>
      </c>
      <c r="N637" s="1480"/>
      <c r="O637" s="1477"/>
      <c r="P637" s="1477"/>
      <c r="Q637" s="1477"/>
      <c r="R637" s="623" t="s">
        <v>857</v>
      </c>
      <c r="S637" s="1477"/>
      <c r="T637" s="1480" t="str">
        <f t="shared" si="74"/>
        <v/>
      </c>
      <c r="U637" s="1477"/>
      <c r="V637" s="1477"/>
      <c r="W637" s="1477"/>
      <c r="X637" s="1477"/>
      <c r="Y637" s="1477"/>
      <c r="Z637" s="1477"/>
    </row>
    <row r="638" spans="1:26"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80" t="s">
        <v>1510</v>
      </c>
      <c r="G638" s="1480" t="str">
        <f>IF(T638&lt;&gt;"","A","")</f>
        <v/>
      </c>
      <c r="H638" s="1480" t="s">
        <v>2063</v>
      </c>
      <c r="I638" s="1427" t="str">
        <f t="shared" si="64"/>
        <v/>
      </c>
      <c r="J638" s="1480"/>
      <c r="K638" s="1480" t="str">
        <f t="shared" si="65"/>
        <v/>
      </c>
      <c r="L638" s="906" t="s">
        <v>1510</v>
      </c>
      <c r="M638" s="1480">
        <v>621</v>
      </c>
      <c r="N638" s="1480"/>
      <c r="O638" s="1477" t="s">
        <v>728</v>
      </c>
      <c r="P638" s="1477"/>
      <c r="Q638" s="1477"/>
      <c r="R638" s="1480" t="s">
        <v>857</v>
      </c>
      <c r="S638" s="1477"/>
      <c r="T638" s="1480" t="str">
        <f t="shared" ref="T638:T651" si="76">IF(Q$639="Yes",6,"")</f>
        <v/>
      </c>
      <c r="U638" s="1477"/>
      <c r="V638" s="1477"/>
      <c r="W638" s="1477"/>
      <c r="X638" s="1477"/>
      <c r="Y638" s="1477"/>
      <c r="Z638" s="1477"/>
    </row>
    <row r="639" spans="1:26"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80"/>
      <c r="G639" s="1480"/>
      <c r="H639" s="1480"/>
      <c r="I639" s="1427" t="str">
        <f t="shared" si="64"/>
        <v/>
      </c>
      <c r="J639" s="1480" t="str">
        <f t="shared" ref="J639:J668" si="77">IF(M639&lt;&gt;"",IF($Q$639="Yes",Q$1&amp;M639,""))</f>
        <v/>
      </c>
      <c r="K639" s="1480" t="str">
        <f t="shared" si="65"/>
        <v/>
      </c>
      <c r="L639" s="906" t="s">
        <v>1724</v>
      </c>
      <c r="M639" s="1480">
        <v>622</v>
      </c>
      <c r="N639" s="1480"/>
      <c r="O639" s="1477">
        <f>'Configurable Tab'!H8</f>
        <v>75</v>
      </c>
      <c r="P639" s="1477"/>
      <c r="Q639" s="1477" t="s">
        <v>651</v>
      </c>
      <c r="R639" s="623" t="s">
        <v>857</v>
      </c>
      <c r="S639" s="1477"/>
      <c r="T639" s="1480" t="str">
        <f t="shared" si="76"/>
        <v/>
      </c>
      <c r="U639" s="1477"/>
      <c r="V639" s="1477"/>
      <c r="W639" s="1477"/>
      <c r="X639" s="1477"/>
      <c r="Y639" s="1477"/>
      <c r="Z639" s="1477"/>
    </row>
    <row r="640" spans="1:26"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80" t="s">
        <v>1399</v>
      </c>
      <c r="G640" s="1480" t="str">
        <f>IF(T640&lt;&gt;"","B","")</f>
        <v/>
      </c>
      <c r="H640" s="1480" t="s">
        <v>2063</v>
      </c>
      <c r="I640" s="1427" t="str">
        <f t="shared" si="64"/>
        <v/>
      </c>
      <c r="J640" s="1480"/>
      <c r="K640" s="1480" t="str">
        <f t="shared" si="65"/>
        <v/>
      </c>
      <c r="L640" s="906" t="s">
        <v>1399</v>
      </c>
      <c r="M640" s="1480">
        <v>623</v>
      </c>
      <c r="N640" s="1480"/>
      <c r="O640" s="1477" t="s">
        <v>729</v>
      </c>
      <c r="P640" s="1477"/>
      <c r="Q640" s="1477"/>
      <c r="R640" s="1480" t="s">
        <v>857</v>
      </c>
      <c r="S640" s="1477"/>
      <c r="T640" s="1480" t="str">
        <f t="shared" si="76"/>
        <v/>
      </c>
      <c r="U640" s="1477"/>
      <c r="V640" s="1477"/>
      <c r="W640" s="1477"/>
      <c r="X640" s="1477"/>
      <c r="Y640" s="1477"/>
      <c r="Z640" s="1477"/>
    </row>
    <row r="641" spans="1:26" x14ac:dyDescent="0.25">
      <c r="A641" s="932" t="s">
        <v>1396</v>
      </c>
      <c r="B641" s="906" t="str">
        <f t="shared" ref="B641:B647" ca="1" si="78">_xlfn.CONCAT(IFERROR(SUBSTITUTE(ADDRESS(1,MATCH(A641,INDIRECT("'"&amp;E641&amp;"'"&amp;"!A" &amp; $O$639 + 2 &amp; ":Z" &amp; $O$639 + 2),0),4),1,""),""),$O$639 + 2)</f>
        <v>H77</v>
      </c>
      <c r="C641" s="906" t="str">
        <f t="shared" ref="C641:C647" ca="1" si="79">_xlfn.CONCAT(IFERROR(SUBSTITUTE(ADDRESS(1,MATCH(A641,INDIRECT("'"&amp;E641&amp;"'"&amp;"!A" &amp; $O$639 + 2 &amp; ":Z" &amp; $O$639 + 2),0),4),1,""),""),$O$639 + 3)</f>
        <v>H78</v>
      </c>
      <c r="D641" s="906" t="s">
        <v>1365</v>
      </c>
      <c r="E641" s="906" t="s">
        <v>1535</v>
      </c>
      <c r="F641" s="1480" t="s">
        <v>2064</v>
      </c>
      <c r="G641" s="1480" t="str">
        <f>IF(T641&lt;&gt;"","E","")</f>
        <v/>
      </c>
      <c r="H641" s="1480" t="s">
        <v>2063</v>
      </c>
      <c r="I641" s="1427" t="str">
        <f t="shared" si="64"/>
        <v/>
      </c>
      <c r="J641" s="1480" t="str">
        <f t="shared" si="77"/>
        <v/>
      </c>
      <c r="K641" s="1480" t="str">
        <f t="shared" si="65"/>
        <v/>
      </c>
      <c r="L641" s="906" t="s">
        <v>1396</v>
      </c>
      <c r="M641" s="1480">
        <v>624</v>
      </c>
      <c r="N641" s="1480"/>
      <c r="O641" s="1477">
        <f>'Configurable Tab'!I8</f>
        <v>90</v>
      </c>
      <c r="P641" s="1477"/>
      <c r="Q641" s="1477"/>
      <c r="R641" s="623" t="s">
        <v>857</v>
      </c>
      <c r="S641" s="1477"/>
      <c r="T641" s="1480" t="str">
        <f t="shared" si="76"/>
        <v/>
      </c>
      <c r="U641" s="1477"/>
      <c r="V641" s="1477"/>
      <c r="W641" s="1477"/>
      <c r="X641" s="1477"/>
      <c r="Y641" s="1477"/>
      <c r="Z641" s="1477"/>
    </row>
    <row r="642" spans="1:26" x14ac:dyDescent="0.25">
      <c r="A642" s="932" t="s">
        <v>1397</v>
      </c>
      <c r="B642" s="906" t="str">
        <f t="shared" ca="1" si="78"/>
        <v>J77</v>
      </c>
      <c r="C642" s="906" t="str">
        <f t="shared" ca="1" si="79"/>
        <v>J78</v>
      </c>
      <c r="D642" s="906" t="s">
        <v>1365</v>
      </c>
      <c r="E642" s="906" t="s">
        <v>1535</v>
      </c>
      <c r="F642" s="1480" t="s">
        <v>2065</v>
      </c>
      <c r="G642" s="1480" t="str">
        <f>IF(T642&lt;&gt;"","I","")</f>
        <v/>
      </c>
      <c r="H642" s="1480" t="s">
        <v>2063</v>
      </c>
      <c r="I642" s="1427" t="str">
        <f t="shared" si="64"/>
        <v/>
      </c>
      <c r="J642" s="1480" t="str">
        <f t="shared" si="77"/>
        <v/>
      </c>
      <c r="K642" s="1480" t="str">
        <f t="shared" si="65"/>
        <v/>
      </c>
      <c r="L642" s="906" t="s">
        <v>1397</v>
      </c>
      <c r="M642" s="1480">
        <v>625</v>
      </c>
      <c r="N642" s="1480"/>
      <c r="O642" s="1477" t="s">
        <v>1656</v>
      </c>
      <c r="P642" s="1477"/>
      <c r="Q642" s="1477"/>
      <c r="R642" s="623" t="s">
        <v>857</v>
      </c>
      <c r="S642" s="1477"/>
      <c r="T642" s="1480" t="str">
        <f t="shared" si="76"/>
        <v/>
      </c>
      <c r="U642" s="1477"/>
      <c r="V642" s="1477"/>
      <c r="W642" s="1477"/>
      <c r="X642" s="1477"/>
      <c r="Y642" s="1477"/>
      <c r="Z642" s="1477"/>
    </row>
    <row r="643" spans="1:26" x14ac:dyDescent="0.25">
      <c r="A643" s="932" t="s">
        <v>1413</v>
      </c>
      <c r="B643" s="906" t="str">
        <f t="shared" ca="1" si="78"/>
        <v>L77</v>
      </c>
      <c r="C643" s="906" t="str">
        <f t="shared" ca="1" si="79"/>
        <v>L78</v>
      </c>
      <c r="D643" s="906" t="s">
        <v>1365</v>
      </c>
      <c r="E643" s="906" t="s">
        <v>1535</v>
      </c>
      <c r="F643" s="1480" t="s">
        <v>2066</v>
      </c>
      <c r="G643" s="1480" t="str">
        <f>IF(T643&lt;&gt;"","H","")</f>
        <v/>
      </c>
      <c r="H643" s="1480" t="s">
        <v>2063</v>
      </c>
      <c r="I643" s="1427" t="str">
        <f t="shared" si="64"/>
        <v/>
      </c>
      <c r="J643" s="1480" t="str">
        <f t="shared" si="77"/>
        <v/>
      </c>
      <c r="K643" s="1480" t="str">
        <f t="shared" si="65"/>
        <v/>
      </c>
      <c r="L643" s="906" t="s">
        <v>1413</v>
      </c>
      <c r="M643" s="1480">
        <v>626</v>
      </c>
      <c r="N643" s="1480"/>
      <c r="O643" s="1477"/>
      <c r="P643" s="1477"/>
      <c r="Q643" s="1477"/>
      <c r="R643" s="623" t="s">
        <v>857</v>
      </c>
      <c r="S643" s="1477"/>
      <c r="T643" s="1480" t="str">
        <f t="shared" si="76"/>
        <v/>
      </c>
      <c r="U643" s="1477"/>
      <c r="V643" s="1477"/>
      <c r="W643" s="1477"/>
      <c r="X643" s="1477"/>
      <c r="Y643" s="1477"/>
      <c r="Z643" s="1477"/>
    </row>
    <row r="644" spans="1:26" x14ac:dyDescent="0.25">
      <c r="A644" s="932" t="s">
        <v>1398</v>
      </c>
      <c r="B644" s="906" t="str">
        <f t="shared" ca="1" si="78"/>
        <v>N77</v>
      </c>
      <c r="C644" s="906" t="str">
        <f t="shared" ca="1" si="79"/>
        <v>N78</v>
      </c>
      <c r="D644" s="906" t="s">
        <v>1365</v>
      </c>
      <c r="E644" s="906" t="s">
        <v>1535</v>
      </c>
      <c r="F644" s="1480" t="s">
        <v>1398</v>
      </c>
      <c r="G644" s="1480" t="str">
        <f>IF(T644&lt;&gt;"",IF(Q642="Credit Memo","J",IF(Q642="Check","K","")),"")</f>
        <v/>
      </c>
      <c r="H644" s="1480" t="s">
        <v>2063</v>
      </c>
      <c r="I644" s="1427" t="str">
        <f t="shared" ref="I644:I707" si="80">IF(J644&lt;&gt;"",A644,"")</f>
        <v/>
      </c>
      <c r="J644" s="1480" t="str">
        <f t="shared" si="77"/>
        <v/>
      </c>
      <c r="K644" s="1480" t="str">
        <f t="shared" ref="K644:K707" si="81">IF(J644&lt;&gt;"",E644,"")</f>
        <v/>
      </c>
      <c r="L644" s="906" t="s">
        <v>1398</v>
      </c>
      <c r="M644" s="1480">
        <v>627</v>
      </c>
      <c r="N644" s="1480"/>
      <c r="O644" s="1477"/>
      <c r="P644" s="1477"/>
      <c r="Q644" s="1477"/>
      <c r="R644" s="623" t="s">
        <v>857</v>
      </c>
      <c r="S644" s="1477"/>
      <c r="T644" s="1480" t="str">
        <f t="shared" si="76"/>
        <v/>
      </c>
      <c r="U644" s="1477"/>
      <c r="V644" s="1477"/>
      <c r="W644" s="1477"/>
      <c r="X644" s="1477"/>
      <c r="Y644" s="1477"/>
      <c r="Z644" s="1477"/>
    </row>
    <row r="645" spans="1:26" x14ac:dyDescent="0.25">
      <c r="A645" s="932" t="s">
        <v>1505</v>
      </c>
      <c r="B645" s="906" t="str">
        <f t="shared" ca="1" si="78"/>
        <v>P77</v>
      </c>
      <c r="C645" s="906" t="str">
        <f t="shared" ca="1" si="79"/>
        <v>P78</v>
      </c>
      <c r="D645" s="906" t="s">
        <v>1365</v>
      </c>
      <c r="E645" s="906" t="s">
        <v>1535</v>
      </c>
      <c r="F645" s="1480" t="s">
        <v>2067</v>
      </c>
      <c r="G645" s="1480" t="str">
        <f>IF(T645&lt;&gt;"","F","")</f>
        <v/>
      </c>
      <c r="H645" s="1480" t="s">
        <v>2063</v>
      </c>
      <c r="I645" s="1427" t="str">
        <f t="shared" si="80"/>
        <v/>
      </c>
      <c r="J645" s="1480" t="str">
        <f t="shared" si="77"/>
        <v/>
      </c>
      <c r="K645" s="1480" t="str">
        <f t="shared" si="81"/>
        <v/>
      </c>
      <c r="L645" s="906" t="s">
        <v>1505</v>
      </c>
      <c r="M645" s="1480">
        <v>628</v>
      </c>
      <c r="N645" s="1480"/>
      <c r="O645" s="1477"/>
      <c r="P645" s="1477"/>
      <c r="Q645" s="1477"/>
      <c r="R645" s="623" t="s">
        <v>857</v>
      </c>
      <c r="S645" s="1477"/>
      <c r="T645" s="1480" t="str">
        <f t="shared" si="76"/>
        <v/>
      </c>
      <c r="U645" s="1477"/>
      <c r="V645" s="1477"/>
      <c r="W645" s="1477"/>
      <c r="X645" s="1477"/>
      <c r="Y645" s="1477"/>
      <c r="Z645" s="1477"/>
    </row>
    <row r="646" spans="1:26" x14ac:dyDescent="0.25">
      <c r="A646" s="932" t="s">
        <v>1506</v>
      </c>
      <c r="B646" s="906" t="str">
        <f t="shared" ca="1" si="78"/>
        <v>R77</v>
      </c>
      <c r="C646" s="906" t="str">
        <f t="shared" ca="1" si="79"/>
        <v>R78</v>
      </c>
      <c r="D646" s="906" t="s">
        <v>1365</v>
      </c>
      <c r="E646" s="906" t="s">
        <v>1535</v>
      </c>
      <c r="F646" s="1480" t="s">
        <v>2068</v>
      </c>
      <c r="G646" s="1480" t="str">
        <f>IF(T646&lt;&gt;"","G","")</f>
        <v/>
      </c>
      <c r="H646" s="1480" t="s">
        <v>2063</v>
      </c>
      <c r="I646" s="1427" t="str">
        <f t="shared" si="80"/>
        <v/>
      </c>
      <c r="J646" s="1480" t="str">
        <f t="shared" si="77"/>
        <v/>
      </c>
      <c r="K646" s="1480" t="str">
        <f t="shared" si="81"/>
        <v/>
      </c>
      <c r="L646" s="906" t="s">
        <v>1506</v>
      </c>
      <c r="M646" s="1480">
        <v>629</v>
      </c>
      <c r="N646" s="1480"/>
      <c r="O646" s="1477"/>
      <c r="P646" s="1477"/>
      <c r="Q646" s="1477"/>
      <c r="R646" s="623" t="s">
        <v>857</v>
      </c>
      <c r="S646" s="1477"/>
      <c r="T646" s="1480" t="str">
        <f t="shared" si="76"/>
        <v/>
      </c>
      <c r="U646" s="1477"/>
      <c r="V646" s="1477"/>
      <c r="W646" s="1477"/>
      <c r="X646" s="1477"/>
      <c r="Y646" s="1477"/>
      <c r="Z646" s="1477"/>
    </row>
    <row r="647" spans="1:26" x14ac:dyDescent="0.25">
      <c r="A647" s="932" t="s">
        <v>1507</v>
      </c>
      <c r="B647" s="906" t="str">
        <f t="shared" ca="1" si="78"/>
        <v>T77</v>
      </c>
      <c r="C647" s="906" t="str">
        <f t="shared" ca="1" si="79"/>
        <v>T78</v>
      </c>
      <c r="D647" s="906" t="s">
        <v>1365</v>
      </c>
      <c r="E647" s="906" t="s">
        <v>1535</v>
      </c>
      <c r="F647" s="923" t="s">
        <v>1507</v>
      </c>
      <c r="G647" s="1480" t="str">
        <f>IF(T647&lt;&gt;"","AW","")</f>
        <v/>
      </c>
      <c r="H647" s="1480" t="s">
        <v>2063</v>
      </c>
      <c r="I647" s="1427" t="str">
        <f t="shared" si="80"/>
        <v/>
      </c>
      <c r="J647" s="1480" t="str">
        <f t="shared" si="77"/>
        <v/>
      </c>
      <c r="K647" s="1480" t="str">
        <f t="shared" si="81"/>
        <v/>
      </c>
      <c r="L647" s="906" t="s">
        <v>1507</v>
      </c>
      <c r="M647" s="1480">
        <v>630</v>
      </c>
      <c r="N647" s="1480"/>
      <c r="O647" s="1477"/>
      <c r="P647" s="1477"/>
      <c r="Q647" s="1477"/>
      <c r="R647" s="623" t="s">
        <v>857</v>
      </c>
      <c r="S647" s="1477"/>
      <c r="T647" s="1480" t="str">
        <f t="shared" si="76"/>
        <v/>
      </c>
      <c r="U647" s="1477"/>
      <c r="V647" s="1477"/>
      <c r="W647" s="1477"/>
      <c r="X647" s="1477"/>
      <c r="Y647" s="1477"/>
      <c r="Z647" s="1477"/>
    </row>
    <row r="648" spans="1:26"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80" t="s">
        <v>1401</v>
      </c>
      <c r="G648" s="1480" t="str">
        <f>IF(T648&lt;&gt;"","C","")</f>
        <v/>
      </c>
      <c r="H648" s="1480" t="s">
        <v>2063</v>
      </c>
      <c r="I648" s="1427" t="str">
        <f t="shared" si="80"/>
        <v/>
      </c>
      <c r="J648" s="1480"/>
      <c r="K648" s="1480" t="str">
        <f t="shared" si="81"/>
        <v/>
      </c>
      <c r="L648" s="906" t="s">
        <v>1401</v>
      </c>
      <c r="M648" s="1480">
        <v>631</v>
      </c>
      <c r="N648" s="1480"/>
      <c r="O648" s="1477"/>
      <c r="P648" s="1477"/>
      <c r="Q648" s="1477"/>
      <c r="R648" s="623" t="s">
        <v>857</v>
      </c>
      <c r="S648" s="1477"/>
      <c r="T648" s="1480" t="str">
        <f t="shared" si="76"/>
        <v/>
      </c>
      <c r="U648" s="1477"/>
      <c r="V648" s="1477"/>
      <c r="W648" s="1477"/>
      <c r="X648" s="1477"/>
      <c r="Y648" s="1477"/>
      <c r="Z648" s="1477"/>
    </row>
    <row r="649" spans="1:26"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80" t="s">
        <v>1402</v>
      </c>
      <c r="G649" s="1480" t="str">
        <f>IF(T649&lt;&gt;"","D","")</f>
        <v/>
      </c>
      <c r="H649" s="1480" t="s">
        <v>2063</v>
      </c>
      <c r="I649" s="1427" t="str">
        <f t="shared" si="80"/>
        <v/>
      </c>
      <c r="J649" s="1480"/>
      <c r="K649" s="1480" t="str">
        <f t="shared" si="81"/>
        <v/>
      </c>
      <c r="L649" s="906" t="s">
        <v>1402</v>
      </c>
      <c r="M649" s="1480">
        <v>632</v>
      </c>
      <c r="N649" s="1480"/>
      <c r="O649" s="1477"/>
      <c r="P649" s="1477"/>
      <c r="Q649" s="1477"/>
      <c r="R649" s="623" t="s">
        <v>857</v>
      </c>
      <c r="S649" s="1477"/>
      <c r="T649" s="1480" t="str">
        <f t="shared" si="76"/>
        <v/>
      </c>
      <c r="U649" s="1477"/>
      <c r="V649" s="1477"/>
      <c r="W649" s="1477"/>
      <c r="X649" s="1477"/>
      <c r="Y649" s="1477"/>
      <c r="Z649" s="1477"/>
    </row>
    <row r="650" spans="1:26"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80" t="s">
        <v>1514</v>
      </c>
      <c r="G650" s="1480" t="str">
        <f>IF(T650&lt;&gt;"","AN","")</f>
        <v/>
      </c>
      <c r="H650" s="1480" t="s">
        <v>2063</v>
      </c>
      <c r="I650" s="1427" t="str">
        <f t="shared" si="80"/>
        <v/>
      </c>
      <c r="J650" s="1480" t="str">
        <f t="shared" si="77"/>
        <v/>
      </c>
      <c r="K650" s="1480" t="str">
        <f t="shared" si="81"/>
        <v/>
      </c>
      <c r="L650" s="906" t="s">
        <v>1514</v>
      </c>
      <c r="M650" s="1480">
        <v>633</v>
      </c>
      <c r="N650" s="1480"/>
      <c r="O650" s="1477"/>
      <c r="P650" s="1484" t="str" cm="1">
        <f t="array" aca="1" ref="P650" ca="1">_xlfn.CONCAT("F",RIGHT(B650, LEN(B650) - MAX(IF(ISNUMBER(MID(B650, ROW(INDIRECT("1:"&amp;LEN(B650))), 1) *1)=FALSE, ROW(INDIRECT("1:"&amp;LEN(B650))), 0))))</f>
        <v>F87</v>
      </c>
      <c r="Q650" s="1480" t="str" cm="1">
        <f t="array" aca="1" ref="Q650" ca="1">_xlfn.CONCAT("E",RIGHT(C650, LEN(C650) - MAX(IF(ISNUMBER(MID(C650, ROW(INDIRECT("1:"&amp;LEN(C650))), 1) *1)=FALSE, ROW(INDIRECT("1:"&amp;LEN(C650))), 0))))</f>
        <v>E87</v>
      </c>
      <c r="R650" s="623" t="s">
        <v>857</v>
      </c>
      <c r="S650" s="1477"/>
      <c r="T650" s="1480" t="str">
        <f t="shared" si="76"/>
        <v/>
      </c>
      <c r="U650" s="1477"/>
      <c r="V650" s="1477"/>
      <c r="W650" s="1477"/>
      <c r="X650" s="1477"/>
      <c r="Y650" s="1477"/>
      <c r="Z650" s="1477"/>
    </row>
    <row r="651" spans="1:26"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80" t="s">
        <v>1511</v>
      </c>
      <c r="G651" s="1480" t="str">
        <f>IF(T651&lt;&gt;"","AL","")</f>
        <v/>
      </c>
      <c r="H651" s="1480" t="s">
        <v>2063</v>
      </c>
      <c r="I651" s="1427" t="str">
        <f t="shared" si="80"/>
        <v/>
      </c>
      <c r="J651" s="1480" t="str">
        <f t="shared" si="77"/>
        <v/>
      </c>
      <c r="K651" s="1480" t="str">
        <f t="shared" si="81"/>
        <v/>
      </c>
      <c r="L651" s="906" t="s">
        <v>1511</v>
      </c>
      <c r="M651" s="1480">
        <v>634</v>
      </c>
      <c r="N651" s="1480"/>
      <c r="O651" s="1477"/>
      <c r="P651" s="1477"/>
      <c r="Q651" s="1477"/>
      <c r="R651" s="623" t="s">
        <v>857</v>
      </c>
      <c r="S651" s="1477"/>
      <c r="T651" s="1480" t="str">
        <f t="shared" si="76"/>
        <v/>
      </c>
      <c r="U651" s="1477"/>
      <c r="V651" s="1477"/>
      <c r="W651" s="1477"/>
      <c r="X651" s="1477"/>
      <c r="Y651" s="1477"/>
      <c r="Z651" s="1477"/>
    </row>
    <row r="652" spans="1:26"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80" t="s">
        <v>2069</v>
      </c>
      <c r="G652" s="1480" t="str">
        <f>IF(T652&lt;&gt;"","L","")</f>
        <v/>
      </c>
      <c r="H652" s="1480" t="s">
        <v>2063</v>
      </c>
      <c r="I652" s="1427" t="str">
        <f t="shared" si="80"/>
        <v/>
      </c>
      <c r="J652" s="1480" t="str">
        <f t="shared" si="77"/>
        <v/>
      </c>
      <c r="K652" s="1480" t="str">
        <f t="shared" si="81"/>
        <v/>
      </c>
      <c r="L652" s="906" t="s">
        <v>1525</v>
      </c>
      <c r="M652" s="1480">
        <v>635</v>
      </c>
      <c r="N652" s="1480"/>
      <c r="O652" s="1477"/>
      <c r="P652" s="1477"/>
      <c r="Q652" s="1477"/>
      <c r="R652" s="623" t="s">
        <v>857</v>
      </c>
      <c r="S652" s="1477"/>
      <c r="T652" s="1480" t="str">
        <f>IF(Q$639="Yes",6,"")</f>
        <v/>
      </c>
      <c r="U652" s="1477"/>
      <c r="V652" s="1477"/>
      <c r="W652" s="1477"/>
      <c r="X652" s="1477"/>
      <c r="Y652" s="1477"/>
      <c r="Z652" s="1477"/>
    </row>
    <row r="653" spans="1:26" x14ac:dyDescent="0.25">
      <c r="A653" s="932" t="s">
        <v>1403</v>
      </c>
      <c r="B653" s="906" t="str">
        <f ca="1">_xlfn.IFNA(_xlfn.CONCAT(SUBSTITUTE(ADDRESS(1,MATCH(A653,INDIRECT("'"&amp;E653&amp;"'"&amp;"!A" &amp; $O$639 + 5 &amp; ":Z" &amp; $O$639 + 5),0),4),1,""), $O$639 + 6),"")</f>
        <v>H81</v>
      </c>
      <c r="C653" s="906" t="str">
        <f t="shared" ref="C653:C667" ca="1" si="82">_xlfn.IFNA(SUBSTITUTE(ADDRESS(1,MATCH(A653,INDIRECT("'"&amp;E653&amp;"'"&amp;"!A" &amp; $O$639 + 5 &amp; ":Z" &amp; $O$639 + 5),0),4),1,""),"")</f>
        <v>H</v>
      </c>
      <c r="D653" s="906" t="s">
        <v>1372</v>
      </c>
      <c r="E653" s="906" t="s">
        <v>1535</v>
      </c>
      <c r="F653" s="923"/>
      <c r="G653" s="1480"/>
      <c r="H653" s="1480"/>
      <c r="I653" s="1427" t="str">
        <f t="shared" si="80"/>
        <v/>
      </c>
      <c r="J653" s="1480" t="str">
        <f t="shared" si="77"/>
        <v/>
      </c>
      <c r="K653" s="1480" t="str">
        <f t="shared" si="81"/>
        <v/>
      </c>
      <c r="L653" s="906" t="s">
        <v>1403</v>
      </c>
      <c r="M653" s="1480">
        <v>636</v>
      </c>
      <c r="N653" s="1480"/>
      <c r="O653" s="1477"/>
      <c r="P653" s="1477"/>
      <c r="Q653" s="1477"/>
      <c r="R653" s="1480" t="s">
        <v>857</v>
      </c>
      <c r="S653" s="1477"/>
      <c r="T653" s="1480" t="str">
        <f t="shared" ref="T653:T667" si="83">IF(Q$639="Yes",6,"")</f>
        <v/>
      </c>
      <c r="U653" s="1477"/>
      <c r="V653" s="1477"/>
      <c r="W653" s="1477"/>
      <c r="X653" s="1477"/>
      <c r="Y653" s="1477"/>
      <c r="Z653" s="1477"/>
    </row>
    <row r="654" spans="1:26" x14ac:dyDescent="0.25">
      <c r="A654" s="932" t="s">
        <v>1404</v>
      </c>
      <c r="B654" s="906" t="str">
        <f ca="1">_xlfn.IFNA(_xlfn.CONCAT(SUBSTITUTE(ADDRESS(1,MATCH(A654,INDIRECT("'"&amp;E654&amp;"'"&amp;"!A" &amp; $O$639 + 5 &amp; ":Z" &amp; $O$639 + 5),0),4),1,""), $O$639 + 6),"")</f>
        <v>J81</v>
      </c>
      <c r="C654" s="906" t="str">
        <f t="shared" ca="1" si="82"/>
        <v>J</v>
      </c>
      <c r="D654" s="906" t="s">
        <v>1372</v>
      </c>
      <c r="E654" s="906" t="s">
        <v>1535</v>
      </c>
      <c r="F654" s="923"/>
      <c r="G654" s="1480"/>
      <c r="H654" s="1480"/>
      <c r="I654" s="1427" t="str">
        <f t="shared" si="80"/>
        <v/>
      </c>
      <c r="J654" s="1480"/>
      <c r="K654" s="1480" t="str">
        <f t="shared" si="81"/>
        <v/>
      </c>
      <c r="L654" s="906" t="s">
        <v>1404</v>
      </c>
      <c r="M654" s="1480">
        <v>637</v>
      </c>
      <c r="N654" s="1480"/>
      <c r="O654" s="1477"/>
      <c r="P654" s="1477"/>
      <c r="Q654" s="1477"/>
      <c r="R654" s="1480" t="s">
        <v>857</v>
      </c>
      <c r="S654" s="1477"/>
      <c r="T654" s="1480" t="str">
        <f t="shared" si="83"/>
        <v/>
      </c>
      <c r="U654" s="1477"/>
      <c r="V654" s="1477"/>
      <c r="W654" s="1477"/>
      <c r="X654" s="1477"/>
      <c r="Y654" s="1477"/>
      <c r="Z654" s="1477"/>
    </row>
    <row r="655" spans="1:26" x14ac:dyDescent="0.25">
      <c r="A655" s="932" t="s">
        <v>1405</v>
      </c>
      <c r="B655" s="906" t="str">
        <f ca="1">_xlfn.IFNA(_xlfn.CONCAT(SUBSTITUTE(ADDRESS(1,MATCH(A655,INDIRECT("'"&amp;E655&amp;"'"&amp;"!A" &amp; $O$639 + 5 &amp; ":Z" &amp; $O$639 + 5),0),4),1,""),$O$639 + 6),"")</f>
        <v>L81</v>
      </c>
      <c r="C655" s="906" t="str">
        <f t="shared" ca="1" si="82"/>
        <v>L</v>
      </c>
      <c r="D655" s="906" t="s">
        <v>1372</v>
      </c>
      <c r="E655" s="906" t="s">
        <v>1535</v>
      </c>
      <c r="F655" s="1192"/>
      <c r="G655" s="1480"/>
      <c r="H655" s="1480"/>
      <c r="I655" s="1427" t="str">
        <f t="shared" si="80"/>
        <v/>
      </c>
      <c r="J655" s="1480"/>
      <c r="K655" s="1480" t="str">
        <f t="shared" si="81"/>
        <v/>
      </c>
      <c r="L655" s="906" t="s">
        <v>1405</v>
      </c>
      <c r="M655" s="1480">
        <v>638</v>
      </c>
      <c r="N655" s="1480"/>
      <c r="O655" s="1477"/>
      <c r="P655" s="1477"/>
      <c r="Q655" s="1477"/>
      <c r="R655" s="1480" t="s">
        <v>857</v>
      </c>
      <c r="S655" s="1477"/>
      <c r="T655" s="1480" t="str">
        <f t="shared" si="83"/>
        <v/>
      </c>
      <c r="U655" s="1477"/>
      <c r="V655" s="1477"/>
      <c r="W655" s="1477"/>
      <c r="X655" s="1477"/>
      <c r="Y655" s="1477"/>
      <c r="Z655" s="1477"/>
    </row>
    <row r="656" spans="1:26" x14ac:dyDescent="0.25">
      <c r="A656" s="932" t="s">
        <v>1403</v>
      </c>
      <c r="B656" s="906" t="str">
        <f ca="1">_xlfn.IFNA(_xlfn.CONCAT(SUBSTITUTE(ADDRESS(1,MATCH(A656,INDIRECT("'"&amp;E656&amp;"'"&amp;"!A" &amp; $O$639 + 5 &amp; ":Z" &amp; $O$639 + 5),0),4),1,""),$O$639 + 7),"")</f>
        <v>H82</v>
      </c>
      <c r="C656" s="906" t="str">
        <f t="shared" ca="1" si="82"/>
        <v>H</v>
      </c>
      <c r="D656" s="906" t="s">
        <v>1372</v>
      </c>
      <c r="E656" s="906" t="s">
        <v>1535</v>
      </c>
      <c r="F656" s="1480"/>
      <c r="G656" s="1480"/>
      <c r="H656" s="1480"/>
      <c r="I656" s="1427" t="str">
        <f t="shared" si="80"/>
        <v/>
      </c>
      <c r="J656" s="1480" t="str">
        <f t="shared" si="77"/>
        <v/>
      </c>
      <c r="K656" s="1480" t="str">
        <f t="shared" si="81"/>
        <v/>
      </c>
      <c r="L656" s="906" t="s">
        <v>1403</v>
      </c>
      <c r="M656" s="1480">
        <v>639</v>
      </c>
      <c r="N656" s="1480"/>
      <c r="O656" s="1477"/>
      <c r="P656" s="1477"/>
      <c r="Q656" s="1477"/>
      <c r="R656" s="1480" t="s">
        <v>857</v>
      </c>
      <c r="S656" s="1477"/>
      <c r="T656" s="1480" t="str">
        <f t="shared" si="83"/>
        <v/>
      </c>
      <c r="U656" s="1477"/>
      <c r="V656" s="1477"/>
      <c r="W656" s="1477"/>
      <c r="X656" s="1477"/>
      <c r="Y656" s="1477"/>
      <c r="Z656" s="1477"/>
    </row>
    <row r="657" spans="1:26" x14ac:dyDescent="0.25">
      <c r="A657" s="932" t="s">
        <v>1404</v>
      </c>
      <c r="B657" s="906" t="str">
        <f ca="1">_xlfn.IFNA(_xlfn.CONCAT(SUBSTITUTE(ADDRESS(1,MATCH(A657,INDIRECT("'"&amp;E657&amp;"'"&amp;"!A" &amp; $O$639 + 5 &amp; ":Z" &amp; $O$639 + 5),0),4),1,""),$O$639 + 7),"")</f>
        <v>J82</v>
      </c>
      <c r="C657" s="906" t="str">
        <f t="shared" ca="1" si="82"/>
        <v>J</v>
      </c>
      <c r="D657" s="906" t="s">
        <v>1372</v>
      </c>
      <c r="E657" s="906" t="s">
        <v>1535</v>
      </c>
      <c r="F657" s="1480"/>
      <c r="G657" s="1480"/>
      <c r="H657" s="1480"/>
      <c r="I657" s="1427" t="str">
        <f t="shared" si="80"/>
        <v/>
      </c>
      <c r="J657" s="1480"/>
      <c r="K657" s="1480" t="str">
        <f t="shared" si="81"/>
        <v/>
      </c>
      <c r="L657" s="906" t="s">
        <v>1404</v>
      </c>
      <c r="M657" s="1480">
        <v>640</v>
      </c>
      <c r="N657" s="1480"/>
      <c r="O657" s="1477"/>
      <c r="P657" s="1477"/>
      <c r="Q657" s="1477"/>
      <c r="R657" s="1480" t="s">
        <v>857</v>
      </c>
      <c r="S657" s="1477"/>
      <c r="T657" s="1480" t="str">
        <f t="shared" si="83"/>
        <v/>
      </c>
      <c r="U657" s="1477"/>
      <c r="V657" s="1477"/>
      <c r="W657" s="1477"/>
      <c r="X657" s="1477"/>
      <c r="Y657" s="1477"/>
      <c r="Z657" s="1477"/>
    </row>
    <row r="658" spans="1:26" x14ac:dyDescent="0.25">
      <c r="A658" s="932" t="s">
        <v>1405</v>
      </c>
      <c r="B658" s="906" t="str">
        <f ca="1">_xlfn.IFNA(_xlfn.CONCAT(SUBSTITUTE(ADDRESS(1,MATCH(A658,INDIRECT("'"&amp;E658&amp;"'"&amp;"!A" &amp; $O$639 + 5 &amp; ":Z" &amp; $O$639 + 5),0),4),1,""),$O$639 + 7),"")</f>
        <v>L82</v>
      </c>
      <c r="C658" s="906" t="str">
        <f t="shared" ca="1" si="82"/>
        <v>L</v>
      </c>
      <c r="D658" s="906" t="s">
        <v>1372</v>
      </c>
      <c r="E658" s="906" t="s">
        <v>1535</v>
      </c>
      <c r="F658" s="1480"/>
      <c r="G658" s="1480"/>
      <c r="H658" s="1480"/>
      <c r="I658" s="1427" t="str">
        <f t="shared" si="80"/>
        <v/>
      </c>
      <c r="J658" s="1480"/>
      <c r="K658" s="1480" t="str">
        <f t="shared" si="81"/>
        <v/>
      </c>
      <c r="L658" s="906" t="s">
        <v>1405</v>
      </c>
      <c r="M658" s="1480">
        <v>641</v>
      </c>
      <c r="N658" s="1480"/>
      <c r="O658" s="1477"/>
      <c r="P658" s="1477"/>
      <c r="Q658" s="1477"/>
      <c r="R658" s="1480" t="s">
        <v>857</v>
      </c>
      <c r="S658" s="1477"/>
      <c r="T658" s="1480" t="str">
        <f t="shared" si="83"/>
        <v/>
      </c>
      <c r="U658" s="1477"/>
      <c r="V658" s="1477"/>
      <c r="W658" s="1477"/>
      <c r="X658" s="1477"/>
      <c r="Y658" s="1477"/>
      <c r="Z658" s="1477"/>
    </row>
    <row r="659" spans="1:26" x14ac:dyDescent="0.25">
      <c r="A659" s="932" t="s">
        <v>1403</v>
      </c>
      <c r="B659" s="906" t="str">
        <f ca="1">_xlfn.IFNA(_xlfn.CONCAT(SUBSTITUTE(ADDRESS(1,MATCH(A659,INDIRECT("'"&amp;E659&amp;"'"&amp;"!A" &amp; $O$639 + 5 &amp; ":Z" &amp; $O$639 + 5),0),4),1,""),$O$639 + 8),"")</f>
        <v>H83</v>
      </c>
      <c r="C659" s="906" t="str">
        <f t="shared" ca="1" si="82"/>
        <v>H</v>
      </c>
      <c r="D659" s="906" t="s">
        <v>1372</v>
      </c>
      <c r="E659" s="906" t="s">
        <v>1535</v>
      </c>
      <c r="F659" s="1480"/>
      <c r="G659" s="1480"/>
      <c r="H659" s="1480"/>
      <c r="I659" s="1427" t="str">
        <f t="shared" si="80"/>
        <v/>
      </c>
      <c r="J659" s="1480" t="str">
        <f t="shared" si="77"/>
        <v/>
      </c>
      <c r="K659" s="1480" t="str">
        <f t="shared" si="81"/>
        <v/>
      </c>
      <c r="L659" s="906" t="s">
        <v>1403</v>
      </c>
      <c r="M659" s="1480">
        <v>642</v>
      </c>
      <c r="N659" s="1480"/>
      <c r="O659" s="1477"/>
      <c r="P659" s="1477"/>
      <c r="Q659" s="1477"/>
      <c r="R659" s="1480" t="s">
        <v>857</v>
      </c>
      <c r="S659" s="1477"/>
      <c r="T659" s="1480" t="str">
        <f t="shared" si="83"/>
        <v/>
      </c>
      <c r="U659" s="1477"/>
      <c r="V659" s="1477"/>
      <c r="W659" s="1477"/>
      <c r="X659" s="1477"/>
      <c r="Y659" s="1477"/>
      <c r="Z659" s="1477"/>
    </row>
    <row r="660" spans="1:26" x14ac:dyDescent="0.25">
      <c r="A660" s="932" t="s">
        <v>1404</v>
      </c>
      <c r="B660" s="906" t="str">
        <f ca="1">_xlfn.IFNA(_xlfn.CONCAT(SUBSTITUTE(ADDRESS(1,MATCH(A660,INDIRECT("'"&amp;E660&amp;"'"&amp;"!A" &amp; $O$639 + 5 &amp; ":Z" &amp; $O$639 + 5),0),4),1,""),$O$639 + 8),"")</f>
        <v>J83</v>
      </c>
      <c r="C660" s="906" t="str">
        <f t="shared" ca="1" si="82"/>
        <v>J</v>
      </c>
      <c r="D660" s="906" t="s">
        <v>1372</v>
      </c>
      <c r="E660" s="906" t="s">
        <v>1535</v>
      </c>
      <c r="F660" s="1480"/>
      <c r="G660" s="1480"/>
      <c r="H660" s="1480"/>
      <c r="I660" s="1427" t="str">
        <f t="shared" si="80"/>
        <v/>
      </c>
      <c r="J660" s="1480"/>
      <c r="K660" s="1480" t="str">
        <f t="shared" si="81"/>
        <v/>
      </c>
      <c r="L660" s="906" t="s">
        <v>1404</v>
      </c>
      <c r="M660" s="1480">
        <v>643</v>
      </c>
      <c r="N660" s="1480"/>
      <c r="O660" s="1477"/>
      <c r="P660" s="1477"/>
      <c r="Q660" s="1477"/>
      <c r="R660" s="1480" t="s">
        <v>857</v>
      </c>
      <c r="S660" s="1477"/>
      <c r="T660" s="1480" t="str">
        <f t="shared" si="83"/>
        <v/>
      </c>
      <c r="U660" s="1477"/>
      <c r="V660" s="1477"/>
      <c r="W660" s="1477"/>
      <c r="X660" s="1477"/>
      <c r="Y660" s="1477"/>
      <c r="Z660" s="1477"/>
    </row>
    <row r="661" spans="1:26" x14ac:dyDescent="0.25">
      <c r="A661" s="932" t="s">
        <v>1405</v>
      </c>
      <c r="B661" s="906" t="str">
        <f ca="1">_xlfn.IFNA(_xlfn.CONCAT(SUBSTITUTE(ADDRESS(1,MATCH(A661,INDIRECT("'"&amp;E661&amp;"'"&amp;"!A" &amp; $O$639 + 5 &amp; ":Z" &amp; $O$639 + 5),0),4),1,""),$O$639 + 8),"")</f>
        <v>L83</v>
      </c>
      <c r="C661" s="906" t="str">
        <f t="shared" ca="1" si="82"/>
        <v>L</v>
      </c>
      <c r="D661" s="906" t="s">
        <v>1372</v>
      </c>
      <c r="E661" s="906" t="s">
        <v>1535</v>
      </c>
      <c r="F661" s="1480"/>
      <c r="G661" s="1480"/>
      <c r="H661" s="1480"/>
      <c r="I661" s="1427" t="str">
        <f t="shared" si="80"/>
        <v/>
      </c>
      <c r="J661" s="1480"/>
      <c r="K661" s="1480" t="str">
        <f t="shared" si="81"/>
        <v/>
      </c>
      <c r="L661" s="906" t="s">
        <v>1405</v>
      </c>
      <c r="M661" s="1480">
        <v>644</v>
      </c>
      <c r="N661" s="1480"/>
      <c r="O661" s="1477"/>
      <c r="P661" s="1477"/>
      <c r="Q661" s="1477"/>
      <c r="R661" s="1480" t="s">
        <v>857</v>
      </c>
      <c r="S661" s="1477"/>
      <c r="T661" s="1480" t="str">
        <f t="shared" si="83"/>
        <v/>
      </c>
      <c r="U661" s="1477"/>
      <c r="V661" s="1477"/>
      <c r="W661" s="1477"/>
      <c r="X661" s="1477"/>
      <c r="Y661" s="1477"/>
      <c r="Z661" s="1477"/>
    </row>
    <row r="662" spans="1:26" x14ac:dyDescent="0.25">
      <c r="A662" s="932" t="s">
        <v>1403</v>
      </c>
      <c r="B662" s="906" t="str">
        <f ca="1">_xlfn.IFNA(_xlfn.CONCAT(SUBSTITUTE(ADDRESS(1,MATCH(A662,INDIRECT("'"&amp;E662&amp;"'"&amp;"!A" &amp; $O$639 + 5 &amp; ":Z" &amp; $O$639 + 5),0),4),1,""),$O$639 + 9),"")</f>
        <v>H84</v>
      </c>
      <c r="C662" s="906" t="str">
        <f t="shared" ca="1" si="82"/>
        <v>H</v>
      </c>
      <c r="D662" s="906" t="s">
        <v>1372</v>
      </c>
      <c r="E662" s="906" t="s">
        <v>1535</v>
      </c>
      <c r="F662" s="1480"/>
      <c r="G662" s="1480"/>
      <c r="H662" s="1480"/>
      <c r="I662" s="1427" t="str">
        <f t="shared" si="80"/>
        <v/>
      </c>
      <c r="J662" s="1480" t="str">
        <f t="shared" si="77"/>
        <v/>
      </c>
      <c r="K662" s="1480" t="str">
        <f t="shared" si="81"/>
        <v/>
      </c>
      <c r="L662" s="906" t="s">
        <v>1403</v>
      </c>
      <c r="M662" s="1480">
        <v>645</v>
      </c>
      <c r="N662" s="1480"/>
      <c r="O662" s="1477"/>
      <c r="P662" s="1477"/>
      <c r="Q662" s="1477"/>
      <c r="R662" s="1480" t="s">
        <v>857</v>
      </c>
      <c r="S662" s="1477"/>
      <c r="T662" s="1480" t="str">
        <f t="shared" si="83"/>
        <v/>
      </c>
      <c r="U662" s="1477"/>
      <c r="V662" s="1477"/>
      <c r="W662" s="1477"/>
      <c r="X662" s="1477"/>
      <c r="Y662" s="1477"/>
      <c r="Z662" s="1477"/>
    </row>
    <row r="663" spans="1:26" x14ac:dyDescent="0.25">
      <c r="A663" s="932" t="s">
        <v>1404</v>
      </c>
      <c r="B663" s="906" t="str">
        <f ca="1">_xlfn.IFNA(_xlfn.CONCAT(SUBSTITUTE(ADDRESS(1,MATCH(A663,INDIRECT("'"&amp;E663&amp;"'"&amp;"!A" &amp; $O$639 + 5 &amp; ":Z" &amp; $O$639 + 5),0),4),1,""),$O$639 + 9),"")</f>
        <v>J84</v>
      </c>
      <c r="C663" s="906" t="str">
        <f t="shared" ca="1" si="82"/>
        <v>J</v>
      </c>
      <c r="D663" s="906" t="s">
        <v>1372</v>
      </c>
      <c r="E663" s="906" t="s">
        <v>1535</v>
      </c>
      <c r="F663" s="1480"/>
      <c r="G663" s="1480"/>
      <c r="H663" s="1480"/>
      <c r="I663" s="1427" t="str">
        <f t="shared" si="80"/>
        <v/>
      </c>
      <c r="J663" s="1480"/>
      <c r="K663" s="1480" t="str">
        <f t="shared" si="81"/>
        <v/>
      </c>
      <c r="L663" s="906" t="s">
        <v>1404</v>
      </c>
      <c r="M663" s="1480">
        <v>646</v>
      </c>
      <c r="N663" s="1480"/>
      <c r="O663" s="1477"/>
      <c r="P663" s="1477"/>
      <c r="Q663" s="1477"/>
      <c r="R663" s="1480" t="s">
        <v>857</v>
      </c>
      <c r="S663" s="1477"/>
      <c r="T663" s="1480" t="str">
        <f t="shared" si="83"/>
        <v/>
      </c>
      <c r="U663" s="1477"/>
      <c r="V663" s="1477"/>
      <c r="W663" s="1477"/>
      <c r="X663" s="1477"/>
      <c r="Y663" s="1477"/>
      <c r="Z663" s="1477"/>
    </row>
    <row r="664" spans="1:26" x14ac:dyDescent="0.25">
      <c r="A664" s="932" t="s">
        <v>1405</v>
      </c>
      <c r="B664" s="906" t="str">
        <f ca="1">_xlfn.IFNA(_xlfn.CONCAT(SUBSTITUTE(ADDRESS(1,MATCH(A664,INDIRECT("'"&amp;E664&amp;"'"&amp;"!A" &amp; $O$639 + 5 &amp; ":Z" &amp; $O$639 + 5),0),4),1,""),$O$639 + 9),"")</f>
        <v>L84</v>
      </c>
      <c r="C664" s="906" t="str">
        <f t="shared" ca="1" si="82"/>
        <v>L</v>
      </c>
      <c r="D664" s="906" t="s">
        <v>1372</v>
      </c>
      <c r="E664" s="906" t="s">
        <v>1535</v>
      </c>
      <c r="F664" s="1480"/>
      <c r="G664" s="1480"/>
      <c r="H664" s="1480"/>
      <c r="I664" s="1427" t="str">
        <f t="shared" si="80"/>
        <v/>
      </c>
      <c r="J664" s="1480"/>
      <c r="K664" s="1480" t="str">
        <f t="shared" si="81"/>
        <v/>
      </c>
      <c r="L664" s="906" t="s">
        <v>1405</v>
      </c>
      <c r="M664" s="1480">
        <v>647</v>
      </c>
      <c r="N664" s="1480"/>
      <c r="O664" s="1477"/>
      <c r="P664" s="1477"/>
      <c r="Q664" s="1477"/>
      <c r="R664" s="1480" t="s">
        <v>857</v>
      </c>
      <c r="S664" s="1477"/>
      <c r="T664" s="1480" t="str">
        <f t="shared" si="83"/>
        <v/>
      </c>
      <c r="U664" s="1477"/>
      <c r="V664" s="1477"/>
      <c r="W664" s="1477"/>
      <c r="X664" s="1477"/>
      <c r="Y664" s="1477"/>
      <c r="Z664" s="1477"/>
    </row>
    <row r="665" spans="1:26" x14ac:dyDescent="0.25">
      <c r="A665" s="932" t="s">
        <v>1403</v>
      </c>
      <c r="B665" s="906" t="str">
        <f ca="1">_xlfn.IFNA(_xlfn.CONCAT(SUBSTITUTE(ADDRESS(1,MATCH(A665,INDIRECT("'"&amp;E665&amp;"'"&amp;"!A" &amp; $O$639 + 5 &amp; ":Z" &amp; $O$639 + 5),0),4),1,""),$O$639 + 10),"")</f>
        <v>H85</v>
      </c>
      <c r="C665" s="906" t="str">
        <f t="shared" ca="1" si="82"/>
        <v>H</v>
      </c>
      <c r="D665" s="906" t="s">
        <v>1372</v>
      </c>
      <c r="E665" s="906" t="s">
        <v>1535</v>
      </c>
      <c r="F665" s="1480"/>
      <c r="G665" s="1480"/>
      <c r="H665" s="1480"/>
      <c r="I665" s="1427" t="str">
        <f t="shared" si="80"/>
        <v/>
      </c>
      <c r="J665" s="1480" t="str">
        <f t="shared" si="77"/>
        <v/>
      </c>
      <c r="K665" s="1480" t="str">
        <f t="shared" si="81"/>
        <v/>
      </c>
      <c r="L665" s="906" t="s">
        <v>1403</v>
      </c>
      <c r="M665" s="1480">
        <v>648</v>
      </c>
      <c r="N665" s="1480"/>
      <c r="O665" s="1477"/>
      <c r="P665" s="1477"/>
      <c r="Q665" s="1477"/>
      <c r="R665" s="1480" t="s">
        <v>857</v>
      </c>
      <c r="S665" s="1477"/>
      <c r="T665" s="1480" t="str">
        <f t="shared" si="83"/>
        <v/>
      </c>
      <c r="U665" s="1477"/>
      <c r="V665" s="1477"/>
      <c r="W665" s="1477"/>
      <c r="X665" s="1477"/>
      <c r="Y665" s="1477"/>
      <c r="Z665" s="1477"/>
    </row>
    <row r="666" spans="1:26" x14ac:dyDescent="0.25">
      <c r="A666" s="932" t="s">
        <v>1404</v>
      </c>
      <c r="B666" s="906" t="str">
        <f ca="1">_xlfn.IFNA(_xlfn.CONCAT(SUBSTITUTE(ADDRESS(1,MATCH(A666,INDIRECT("'"&amp;E666&amp;"'"&amp;"!A" &amp; $O$639 + 5 &amp; ":Z" &amp; $O$639 + 5),0),4),1,""),$O$639 + 10),"")</f>
        <v>J85</v>
      </c>
      <c r="C666" s="906" t="str">
        <f t="shared" ca="1" si="82"/>
        <v>J</v>
      </c>
      <c r="D666" s="906" t="s">
        <v>1372</v>
      </c>
      <c r="E666" s="906" t="s">
        <v>1535</v>
      </c>
      <c r="F666" s="1480"/>
      <c r="G666" s="1480"/>
      <c r="H666" s="1480"/>
      <c r="I666" s="1427" t="str">
        <f t="shared" si="80"/>
        <v/>
      </c>
      <c r="J666" s="1480"/>
      <c r="K666" s="1480" t="str">
        <f t="shared" si="81"/>
        <v/>
      </c>
      <c r="L666" s="906" t="s">
        <v>1404</v>
      </c>
      <c r="M666" s="1480">
        <v>649</v>
      </c>
      <c r="N666" s="1480"/>
      <c r="O666" s="1477"/>
      <c r="P666" s="1477"/>
      <c r="Q666" s="1477"/>
      <c r="R666" s="1480" t="s">
        <v>857</v>
      </c>
      <c r="S666" s="1477"/>
      <c r="T666" s="1480" t="str">
        <f t="shared" si="83"/>
        <v/>
      </c>
      <c r="U666" s="1477"/>
      <c r="V666" s="1477"/>
      <c r="W666" s="1477"/>
      <c r="X666" s="1477"/>
      <c r="Y666" s="1477"/>
      <c r="Z666" s="1477"/>
    </row>
    <row r="667" spans="1:26" x14ac:dyDescent="0.25">
      <c r="A667" s="932" t="s">
        <v>1405</v>
      </c>
      <c r="B667" s="906" t="str">
        <f ca="1">_xlfn.IFNA(_xlfn.CONCAT(SUBSTITUTE(ADDRESS(1,MATCH(A667,INDIRECT("'"&amp;E667&amp;"'"&amp;"!A" &amp; $O$639 + 5 &amp; ":Z" &amp; $O$639 + 5),0),4),1,""),$O$639 + 10),"")</f>
        <v>L85</v>
      </c>
      <c r="C667" s="906" t="str">
        <f t="shared" ca="1" si="82"/>
        <v>L</v>
      </c>
      <c r="D667" s="906" t="s">
        <v>1372</v>
      </c>
      <c r="E667" s="906" t="s">
        <v>1535</v>
      </c>
      <c r="F667" s="1480"/>
      <c r="G667" s="1480"/>
      <c r="H667" s="1480"/>
      <c r="I667" s="1427" t="str">
        <f t="shared" si="80"/>
        <v/>
      </c>
      <c r="J667" s="1480"/>
      <c r="K667" s="1480" t="str">
        <f t="shared" si="81"/>
        <v/>
      </c>
      <c r="L667" s="906" t="s">
        <v>1405</v>
      </c>
      <c r="M667" s="1480">
        <v>650</v>
      </c>
      <c r="N667" s="1480"/>
      <c r="O667" s="1477"/>
      <c r="P667" s="1477"/>
      <c r="Q667" s="1477"/>
      <c r="R667" s="1480" t="s">
        <v>857</v>
      </c>
      <c r="S667" s="1477"/>
      <c r="T667" s="1480" t="str">
        <f t="shared" si="83"/>
        <v/>
      </c>
      <c r="U667" s="1477"/>
      <c r="V667" s="1477"/>
      <c r="W667" s="1477"/>
      <c r="X667" s="1477"/>
      <c r="Y667" s="1477"/>
      <c r="Z667" s="1477"/>
    </row>
    <row r="668" spans="1:26"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80" t="s">
        <v>1527</v>
      </c>
      <c r="G668" s="1480" t="str">
        <f>IF(T668&lt;&gt;"","P","")</f>
        <v/>
      </c>
      <c r="H668" s="1480" t="s">
        <v>2063</v>
      </c>
      <c r="I668" s="1427" t="str">
        <f t="shared" si="80"/>
        <v/>
      </c>
      <c r="J668" s="1480" t="str">
        <f t="shared" si="77"/>
        <v/>
      </c>
      <c r="K668" s="1480" t="str">
        <f t="shared" si="81"/>
        <v/>
      </c>
      <c r="L668" s="906" t="s">
        <v>1527</v>
      </c>
      <c r="M668" s="1480">
        <v>651</v>
      </c>
      <c r="N668" s="1480"/>
      <c r="O668" s="1477"/>
      <c r="P668" s="1477"/>
      <c r="Q668" s="1477"/>
      <c r="R668" s="623" t="s">
        <v>857</v>
      </c>
      <c r="S668" s="1477"/>
      <c r="T668" s="1480" t="str">
        <f>IF(Q$639="Yes",6,"")</f>
        <v/>
      </c>
      <c r="U668" s="1477"/>
      <c r="V668" s="1477"/>
      <c r="W668" s="1477"/>
      <c r="X668" s="1477"/>
      <c r="Y668" s="1477"/>
      <c r="Z668" s="1477"/>
    </row>
    <row r="669" spans="1:26"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80" t="s">
        <v>1510</v>
      </c>
      <c r="G669" s="1480" t="str">
        <f>IF(T669&lt;&gt;"","A","")</f>
        <v>A</v>
      </c>
      <c r="H669" s="1480" t="s">
        <v>2063</v>
      </c>
      <c r="I669" s="1427" t="str">
        <f t="shared" si="80"/>
        <v/>
      </c>
      <c r="J669" s="1480"/>
      <c r="K669" s="1480" t="str">
        <f t="shared" si="81"/>
        <v/>
      </c>
      <c r="L669" s="906" t="s">
        <v>1510</v>
      </c>
      <c r="M669" s="1480">
        <v>652</v>
      </c>
      <c r="N669" s="1480"/>
      <c r="O669" s="1477" t="s">
        <v>728</v>
      </c>
      <c r="P669" s="1477"/>
      <c r="Q669" s="1477"/>
      <c r="R669" s="1480" t="s">
        <v>1544</v>
      </c>
      <c r="S669" s="1477"/>
      <c r="T669" s="1480">
        <f t="shared" ref="T669:T682" si="84">IF(Q$670="Yes",7,"")</f>
        <v>7</v>
      </c>
      <c r="U669" s="1477"/>
      <c r="V669" s="1477"/>
      <c r="W669" s="1477"/>
      <c r="X669" s="1477"/>
      <c r="Y669" s="1477"/>
      <c r="Z669" s="1477"/>
    </row>
    <row r="670" spans="1:26"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80"/>
      <c r="G670" s="1480"/>
      <c r="H670" s="1480"/>
      <c r="I670" s="1427" t="str">
        <f t="shared" si="80"/>
        <v>Offer This Incentive?</v>
      </c>
      <c r="J670" s="1480" t="str">
        <f t="shared" ref="J670:J684" si="85">IF(M670&lt;&gt;"",IF($Q$670="Yes",Q$1&amp;M670,""))</f>
        <v>F653</v>
      </c>
      <c r="K670" s="1480" t="str">
        <f t="shared" si="81"/>
        <v>Incentives Worksheet</v>
      </c>
      <c r="L670" s="906" t="s">
        <v>1724</v>
      </c>
      <c r="M670" s="1480">
        <v>653</v>
      </c>
      <c r="N670" s="1480"/>
      <c r="O670" s="1477">
        <f>'Configurable Tab'!H9</f>
        <v>91</v>
      </c>
      <c r="P670" s="1477"/>
      <c r="Q670" s="1477" t="s">
        <v>649</v>
      </c>
      <c r="R670" s="1480" t="s">
        <v>1544</v>
      </c>
      <c r="S670" s="1477"/>
      <c r="T670" s="1480">
        <f t="shared" si="84"/>
        <v>7</v>
      </c>
      <c r="U670" s="1477"/>
      <c r="V670" s="1477"/>
      <c r="W670" s="1477"/>
      <c r="X670" s="1477"/>
      <c r="Y670" s="1477"/>
      <c r="Z670" s="1477"/>
    </row>
    <row r="671" spans="1:26"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80" t="s">
        <v>1399</v>
      </c>
      <c r="G671" s="1480" t="str">
        <f>IF(T671&lt;&gt;"","B","")</f>
        <v>B</v>
      </c>
      <c r="H671" s="1480" t="s">
        <v>2063</v>
      </c>
      <c r="I671" s="1427" t="str">
        <f t="shared" si="80"/>
        <v/>
      </c>
      <c r="J671" s="1480"/>
      <c r="K671" s="1480" t="str">
        <f t="shared" si="81"/>
        <v/>
      </c>
      <c r="L671" s="906" t="s">
        <v>1399</v>
      </c>
      <c r="M671" s="1480">
        <v>654</v>
      </c>
      <c r="N671" s="1480"/>
      <c r="O671" s="1477" t="s">
        <v>729</v>
      </c>
      <c r="P671" s="1477"/>
      <c r="Q671" s="1477"/>
      <c r="R671" s="1480" t="s">
        <v>1544</v>
      </c>
      <c r="S671" s="1477"/>
      <c r="T671" s="1480">
        <f t="shared" si="84"/>
        <v>7</v>
      </c>
      <c r="U671" s="1477"/>
      <c r="V671" s="1477"/>
      <c r="W671" s="1477"/>
      <c r="X671" s="1477"/>
      <c r="Y671" s="1477"/>
      <c r="Z671" s="1477"/>
    </row>
    <row r="672" spans="1:26" x14ac:dyDescent="0.25">
      <c r="A672" s="929" t="s">
        <v>1396</v>
      </c>
      <c r="B672" s="906" t="str">
        <f t="shared" ref="B672:B678" ca="1" si="86">_xlfn.CONCAT(IFERROR(SUBSTITUTE(ADDRESS(1,MATCH(A672,INDIRECT("'"&amp;E672&amp;"'"&amp;"!A" &amp; $O$670 + 2 &amp; ":Z" &amp; $O$670 + 2),0),4),1,""),""),$O$670 + 2)</f>
        <v>H93</v>
      </c>
      <c r="C672" s="906" t="str">
        <f t="shared" ref="C672:C678" ca="1" si="87">_xlfn.CONCAT(IFERROR(SUBSTITUTE(ADDRESS(1,MATCH(A672,INDIRECT("'"&amp;E672&amp;"'"&amp;"!A" &amp; $O$670 + 2 &amp; ":Z" &amp; $O$670 + 2),0),4),1,""),""),$O$670 + 3)</f>
        <v>H94</v>
      </c>
      <c r="D672" s="906" t="s">
        <v>1365</v>
      </c>
      <c r="E672" s="906" t="s">
        <v>1535</v>
      </c>
      <c r="F672" s="1480" t="s">
        <v>2064</v>
      </c>
      <c r="G672" s="1480" t="str">
        <f>IF(T672&lt;&gt;"","E","")</f>
        <v>E</v>
      </c>
      <c r="H672" s="1480" t="s">
        <v>2063</v>
      </c>
      <c r="I672" s="1427" t="str">
        <f t="shared" si="80"/>
        <v>Incentive Period</v>
      </c>
      <c r="J672" s="1480" t="str">
        <f t="shared" si="85"/>
        <v>F655</v>
      </c>
      <c r="K672" s="1480" t="str">
        <f t="shared" si="81"/>
        <v>Incentives Worksheet</v>
      </c>
      <c r="L672" s="906" t="s">
        <v>1396</v>
      </c>
      <c r="M672" s="1480">
        <v>655</v>
      </c>
      <c r="N672" s="1480"/>
      <c r="O672" s="1477">
        <f>'Configurable Tab'!I9</f>
        <v>104</v>
      </c>
      <c r="P672" s="1477"/>
      <c r="Q672" s="1477"/>
      <c r="R672" s="1480" t="s">
        <v>1544</v>
      </c>
      <c r="S672" s="1477"/>
      <c r="T672" s="1480">
        <f t="shared" si="84"/>
        <v>7</v>
      </c>
      <c r="U672" s="1477"/>
      <c r="V672" s="1477"/>
      <c r="W672" s="1477"/>
      <c r="X672" s="1477"/>
      <c r="Y672" s="1477"/>
      <c r="Z672" s="1477"/>
    </row>
    <row r="673" spans="1:26" x14ac:dyDescent="0.25">
      <c r="A673" s="929" t="s">
        <v>1397</v>
      </c>
      <c r="B673" s="906" t="str">
        <f t="shared" ca="1" si="86"/>
        <v>J93</v>
      </c>
      <c r="C673" s="906" t="str">
        <f t="shared" ca="1" si="87"/>
        <v>J94</v>
      </c>
      <c r="D673" s="906" t="s">
        <v>1365</v>
      </c>
      <c r="E673" s="906" t="s">
        <v>1535</v>
      </c>
      <c r="F673" s="1480" t="s">
        <v>2065</v>
      </c>
      <c r="G673" s="1480" t="str">
        <f>IF(T673&lt;&gt;"","I","")</f>
        <v>I</v>
      </c>
      <c r="H673" s="1480" t="s">
        <v>2063</v>
      </c>
      <c r="I673" s="1427" t="str">
        <f t="shared" si="80"/>
        <v>Payment Method</v>
      </c>
      <c r="J673" s="1480" t="str">
        <f t="shared" si="85"/>
        <v>F656</v>
      </c>
      <c r="K673" s="1480" t="str">
        <f t="shared" si="81"/>
        <v>Incentives Worksheet</v>
      </c>
      <c r="L673" s="906" t="s">
        <v>1397</v>
      </c>
      <c r="M673" s="1480">
        <v>656</v>
      </c>
      <c r="N673" s="1480"/>
      <c r="O673" s="1477" t="s">
        <v>1657</v>
      </c>
      <c r="P673" s="1477"/>
      <c r="Q673" s="1477" t="s">
        <v>484</v>
      </c>
      <c r="R673" s="1480" t="s">
        <v>1544</v>
      </c>
      <c r="S673" s="1477"/>
      <c r="T673" s="1480">
        <f t="shared" si="84"/>
        <v>7</v>
      </c>
      <c r="U673" s="1477"/>
      <c r="V673" s="1477"/>
      <c r="W673" s="1477"/>
      <c r="X673" s="1477"/>
      <c r="Y673" s="1477"/>
      <c r="Z673" s="1477"/>
    </row>
    <row r="674" spans="1:26" x14ac:dyDescent="0.25">
      <c r="A674" s="929" t="s">
        <v>1413</v>
      </c>
      <c r="B674" s="906" t="str">
        <f t="shared" ca="1" si="86"/>
        <v>L93</v>
      </c>
      <c r="C674" s="906" t="str">
        <f t="shared" ca="1" si="87"/>
        <v>L94</v>
      </c>
      <c r="D674" s="906" t="s">
        <v>1365</v>
      </c>
      <c r="E674" s="906" t="s">
        <v>1535</v>
      </c>
      <c r="F674" s="1480" t="s">
        <v>2066</v>
      </c>
      <c r="G674" s="1480" t="str">
        <f>IF(T674&lt;&gt;"","H","")</f>
        <v>H</v>
      </c>
      <c r="H674" s="1480" t="s">
        <v>2063</v>
      </c>
      <c r="I674" s="1427" t="str">
        <f t="shared" si="80"/>
        <v>Paid To</v>
      </c>
      <c r="J674" s="1480" t="str">
        <f t="shared" si="85"/>
        <v>F657</v>
      </c>
      <c r="K674" s="1480" t="str">
        <f t="shared" si="81"/>
        <v>Incentives Worksheet</v>
      </c>
      <c r="L674" s="906" t="s">
        <v>1413</v>
      </c>
      <c r="M674" s="1480">
        <v>657</v>
      </c>
      <c r="N674" s="1480"/>
      <c r="O674" s="1477"/>
      <c r="P674" s="1477"/>
      <c r="Q674" s="1477"/>
      <c r="R674" s="1480" t="s">
        <v>1544</v>
      </c>
      <c r="S674" s="1477"/>
      <c r="T674" s="1480">
        <f t="shared" si="84"/>
        <v>7</v>
      </c>
      <c r="U674" s="1477"/>
      <c r="V674" s="1477"/>
      <c r="W674" s="1477"/>
      <c r="X674" s="1477"/>
      <c r="Y674" s="1477"/>
      <c r="Z674" s="1477"/>
    </row>
    <row r="675" spans="1:26" x14ac:dyDescent="0.25">
      <c r="A675" s="929" t="s">
        <v>1398</v>
      </c>
      <c r="B675" s="906" t="str">
        <f t="shared" ca="1" si="86"/>
        <v>N93</v>
      </c>
      <c r="C675" s="906" t="str">
        <f t="shared" ca="1" si="87"/>
        <v>N94</v>
      </c>
      <c r="D675" s="906" t="s">
        <v>1365</v>
      </c>
      <c r="E675" s="906" t="s">
        <v>1535</v>
      </c>
      <c r="F675" s="1480" t="s">
        <v>1398</v>
      </c>
      <c r="G675" s="1480" t="str">
        <f>IF(T675&lt;&gt;"",IF(Q673="Credit Memo","J",IF(Q673="Check","K","")),"")</f>
        <v>J</v>
      </c>
      <c r="H675" s="1480" t="s">
        <v>2063</v>
      </c>
      <c r="I675" s="1427" t="str">
        <f t="shared" si="80"/>
        <v>AP/AR Vendor Number</v>
      </c>
      <c r="J675" s="1480" t="str">
        <f t="shared" si="85"/>
        <v>F658</v>
      </c>
      <c r="K675" s="1480" t="str">
        <f t="shared" si="81"/>
        <v>Incentives Worksheet</v>
      </c>
      <c r="L675" s="906" t="s">
        <v>1398</v>
      </c>
      <c r="M675" s="1480">
        <v>658</v>
      </c>
      <c r="N675" s="1480"/>
      <c r="O675" s="1477"/>
      <c r="P675" s="1477"/>
      <c r="Q675" s="1477"/>
      <c r="R675" s="1480" t="s">
        <v>1544</v>
      </c>
      <c r="S675" s="1477"/>
      <c r="T675" s="1480">
        <f t="shared" si="84"/>
        <v>7</v>
      </c>
      <c r="U675" s="1477"/>
      <c r="V675" s="1477"/>
      <c r="W675" s="1477"/>
      <c r="X675" s="1477"/>
      <c r="Y675" s="1477"/>
      <c r="Z675" s="1477"/>
    </row>
    <row r="676" spans="1:26" x14ac:dyDescent="0.25">
      <c r="A676" s="929" t="s">
        <v>1505</v>
      </c>
      <c r="B676" s="906" t="str">
        <f t="shared" ca="1" si="86"/>
        <v>P93</v>
      </c>
      <c r="C676" s="906" t="str">
        <f t="shared" ca="1" si="87"/>
        <v>P94</v>
      </c>
      <c r="D676" s="906" t="s">
        <v>1365</v>
      </c>
      <c r="E676" s="906" t="s">
        <v>1535</v>
      </c>
      <c r="F676" s="1480" t="s">
        <v>2067</v>
      </c>
      <c r="G676" s="1480" t="str">
        <f>IF(T676&lt;&gt;"","F","")</f>
        <v>F</v>
      </c>
      <c r="H676" s="1480" t="s">
        <v>2063</v>
      </c>
      <c r="I676" s="1427" t="str">
        <f t="shared" si="80"/>
        <v>Qualifying Cycle</v>
      </c>
      <c r="J676" s="1480" t="str">
        <f t="shared" si="85"/>
        <v>F659</v>
      </c>
      <c r="K676" s="1480" t="str">
        <f t="shared" si="81"/>
        <v>Incentives Worksheet</v>
      </c>
      <c r="L676" s="906" t="s">
        <v>1505</v>
      </c>
      <c r="M676" s="1480">
        <v>659</v>
      </c>
      <c r="N676" s="1480"/>
      <c r="O676" s="1477"/>
      <c r="P676" s="1477"/>
      <c r="Q676" s="1477"/>
      <c r="R676" s="1480" t="s">
        <v>1544</v>
      </c>
      <c r="S676" s="1477"/>
      <c r="T676" s="1480">
        <f t="shared" si="84"/>
        <v>7</v>
      </c>
      <c r="U676" s="1477"/>
      <c r="V676" s="1477"/>
      <c r="W676" s="1477"/>
      <c r="X676" s="1477"/>
      <c r="Y676" s="1477"/>
      <c r="Z676" s="1477"/>
    </row>
    <row r="677" spans="1:26" x14ac:dyDescent="0.25">
      <c r="A677" s="929" t="s">
        <v>1506</v>
      </c>
      <c r="B677" s="906" t="str">
        <f t="shared" ca="1" si="86"/>
        <v>R93</v>
      </c>
      <c r="C677" s="906" t="str">
        <f t="shared" ca="1" si="87"/>
        <v>R94</v>
      </c>
      <c r="D677" s="906" t="s">
        <v>1365</v>
      </c>
      <c r="E677" s="906" t="s">
        <v>1535</v>
      </c>
      <c r="F677" s="1480" t="s">
        <v>2068</v>
      </c>
      <c r="G677" s="1480" t="str">
        <f>IF(T677&lt;&gt;"","G","")</f>
        <v>G</v>
      </c>
      <c r="H677" s="1480" t="s">
        <v>2063</v>
      </c>
      <c r="I677" s="1427" t="str">
        <f t="shared" si="80"/>
        <v>Incentive Calendar</v>
      </c>
      <c r="J677" s="1480" t="str">
        <f t="shared" si="85"/>
        <v>F660</v>
      </c>
      <c r="K677" s="1480" t="str">
        <f t="shared" si="81"/>
        <v>Incentives Worksheet</v>
      </c>
      <c r="L677" s="906" t="s">
        <v>1506</v>
      </c>
      <c r="M677" s="1480">
        <v>660</v>
      </c>
      <c r="N677" s="1480"/>
      <c r="O677" s="1477"/>
      <c r="P677" s="1477"/>
      <c r="Q677" s="1477"/>
      <c r="R677" s="1480" t="s">
        <v>1544</v>
      </c>
      <c r="S677" s="1477"/>
      <c r="T677" s="1480">
        <f t="shared" si="84"/>
        <v>7</v>
      </c>
      <c r="U677" s="1477"/>
      <c r="V677" s="1477"/>
      <c r="W677" s="1477"/>
      <c r="X677" s="1477"/>
      <c r="Y677" s="1477"/>
      <c r="Z677" s="1477"/>
    </row>
    <row r="678" spans="1:26" x14ac:dyDescent="0.25">
      <c r="A678" s="929" t="s">
        <v>1507</v>
      </c>
      <c r="B678" s="906" t="str">
        <f t="shared" ca="1" si="86"/>
        <v>T93</v>
      </c>
      <c r="C678" s="906" t="str">
        <f t="shared" ca="1" si="87"/>
        <v>T94</v>
      </c>
      <c r="D678" s="906" t="s">
        <v>1365</v>
      </c>
      <c r="E678" s="906" t="s">
        <v>1535</v>
      </c>
      <c r="F678" s="923" t="s">
        <v>1507</v>
      </c>
      <c r="G678" s="1480" t="str">
        <f>IF(T678&lt;&gt;"","AW","")</f>
        <v>AW</v>
      </c>
      <c r="H678" s="1480" t="s">
        <v>2063</v>
      </c>
      <c r="I678" s="1427" t="str">
        <f t="shared" si="80"/>
        <v>Post to GL Payment Method Flag</v>
      </c>
      <c r="J678" s="1480" t="str">
        <f t="shared" si="85"/>
        <v>F661</v>
      </c>
      <c r="K678" s="1480" t="str">
        <f t="shared" si="81"/>
        <v>Incentives Worksheet</v>
      </c>
      <c r="L678" s="906" t="s">
        <v>1507</v>
      </c>
      <c r="M678" s="1480">
        <v>661</v>
      </c>
      <c r="N678" s="1480"/>
      <c r="O678" s="1477"/>
      <c r="P678" s="1477"/>
      <c r="Q678" s="1477"/>
      <c r="R678" s="1480" t="s">
        <v>1544</v>
      </c>
      <c r="S678" s="1477"/>
      <c r="T678" s="1480">
        <f t="shared" si="84"/>
        <v>7</v>
      </c>
      <c r="U678" s="1477"/>
      <c r="V678" s="1477"/>
      <c r="W678" s="1477"/>
      <c r="X678" s="1477"/>
      <c r="Y678" s="1477"/>
      <c r="Z678" s="1477"/>
    </row>
    <row r="679" spans="1:26"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80" t="s">
        <v>1401</v>
      </c>
      <c r="G679" s="1480" t="str">
        <f>IF(T679&lt;&gt;"","C","")</f>
        <v>C</v>
      </c>
      <c r="H679" s="1480" t="s">
        <v>2063</v>
      </c>
      <c r="I679" s="1427" t="str">
        <f t="shared" si="80"/>
        <v/>
      </c>
      <c r="J679" s="1480"/>
      <c r="K679" s="1480" t="str">
        <f t="shared" si="81"/>
        <v/>
      </c>
      <c r="L679" s="906" t="s">
        <v>1401</v>
      </c>
      <c r="M679" s="1480">
        <v>662</v>
      </c>
      <c r="N679" s="1480"/>
      <c r="O679" s="1477"/>
      <c r="P679" s="1477"/>
      <c r="Q679" s="1477"/>
      <c r="R679" s="1480" t="s">
        <v>1544</v>
      </c>
      <c r="S679" s="1477"/>
      <c r="T679" s="1480">
        <f t="shared" si="84"/>
        <v>7</v>
      </c>
      <c r="U679" s="1477"/>
      <c r="V679" s="1477"/>
      <c r="W679" s="1477"/>
      <c r="X679" s="1477"/>
      <c r="Y679" s="1477"/>
      <c r="Z679" s="1477"/>
    </row>
    <row r="680" spans="1:26"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80" t="s">
        <v>1402</v>
      </c>
      <c r="G680" s="1480" t="str">
        <f>IF(T680&lt;&gt;"","D","")</f>
        <v>D</v>
      </c>
      <c r="H680" s="1480" t="s">
        <v>2063</v>
      </c>
      <c r="I680" s="1427" t="str">
        <f t="shared" si="80"/>
        <v/>
      </c>
      <c r="J680" s="1480"/>
      <c r="K680" s="1480" t="str">
        <f t="shared" si="81"/>
        <v/>
      </c>
      <c r="L680" s="906" t="s">
        <v>1402</v>
      </c>
      <c r="M680" s="1480">
        <v>663</v>
      </c>
      <c r="N680" s="1480"/>
      <c r="O680" s="1477"/>
      <c r="P680" s="1477"/>
      <c r="Q680" s="1477"/>
      <c r="R680" s="1480" t="s">
        <v>1544</v>
      </c>
      <c r="S680" s="1477"/>
      <c r="T680" s="1480">
        <f t="shared" si="84"/>
        <v>7</v>
      </c>
      <c r="U680" s="1477"/>
      <c r="V680" s="1477"/>
      <c r="W680" s="1477"/>
      <c r="X680" s="1477"/>
      <c r="Y680" s="1477"/>
      <c r="Z680" s="1477"/>
    </row>
    <row r="681" spans="1:26"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80" t="s">
        <v>1514</v>
      </c>
      <c r="G681" s="1480" t="str">
        <f>IF(T681&lt;&gt;"","AN","")</f>
        <v>AN</v>
      </c>
      <c r="H681" s="1480" t="s">
        <v>2063</v>
      </c>
      <c r="I681" s="1427" t="str">
        <f t="shared" si="80"/>
        <v>Incentive Dates Match Agreement Dates Flag</v>
      </c>
      <c r="J681" s="1480" t="str">
        <f t="shared" si="85"/>
        <v>F664</v>
      </c>
      <c r="K681" s="1480" t="str">
        <f t="shared" si="81"/>
        <v>Incentives Worksheet</v>
      </c>
      <c r="L681" s="906" t="s">
        <v>1514</v>
      </c>
      <c r="M681" s="1480">
        <v>664</v>
      </c>
      <c r="N681" s="1480"/>
      <c r="O681" s="1477"/>
      <c r="P681" s="1484" t="str" cm="1">
        <f t="array" aca="1" ref="P681" ca="1">_xlfn.CONCAT("F",RIGHT(B681, LEN(B681) - MAX(IF(ISNUMBER(MID(B681, ROW(INDIRECT("1:"&amp;LEN(B681))), 1) *1)=FALSE, ROW(INDIRECT("1:"&amp;LEN(B681))), 0))))</f>
        <v>F101</v>
      </c>
      <c r="Q681" s="1480" t="str" cm="1">
        <f t="array" aca="1" ref="Q681" ca="1">_xlfn.CONCAT("E",RIGHT(C681, LEN(C681) - MAX(IF(ISNUMBER(MID(C681, ROW(INDIRECT("1:"&amp;LEN(C681))), 1) *1)=FALSE, ROW(INDIRECT("1:"&amp;LEN(C681))), 0))))</f>
        <v>E101</v>
      </c>
      <c r="R681" s="1480" t="s">
        <v>1544</v>
      </c>
      <c r="S681" s="1477"/>
      <c r="T681" s="1480">
        <f t="shared" si="84"/>
        <v>7</v>
      </c>
      <c r="U681" s="1477"/>
      <c r="V681" s="1477"/>
      <c r="W681" s="1477"/>
      <c r="X681" s="1477"/>
      <c r="Y681" s="1477"/>
      <c r="Z681" s="1477"/>
    </row>
    <row r="682" spans="1:26"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80" t="s">
        <v>1511</v>
      </c>
      <c r="G682" s="1480" t="str">
        <f>IF(T682&lt;&gt;"","AL","")</f>
        <v>AL</v>
      </c>
      <c r="H682" s="1480" t="s">
        <v>2063</v>
      </c>
      <c r="I682" s="1427" t="str">
        <f t="shared" si="80"/>
        <v>Include All Customers Flag</v>
      </c>
      <c r="J682" s="1480" t="str">
        <f t="shared" si="85"/>
        <v>F665</v>
      </c>
      <c r="K682" s="1480" t="str">
        <f t="shared" si="81"/>
        <v>Incentives Worksheet</v>
      </c>
      <c r="L682" s="906" t="s">
        <v>1511</v>
      </c>
      <c r="M682" s="1480">
        <v>665</v>
      </c>
      <c r="N682" s="1480"/>
      <c r="O682" s="1477"/>
      <c r="P682" s="1477"/>
      <c r="Q682" s="1477"/>
      <c r="R682" s="1480" t="s">
        <v>1544</v>
      </c>
      <c r="S682" s="1477"/>
      <c r="T682" s="1480">
        <f t="shared" si="84"/>
        <v>7</v>
      </c>
      <c r="U682" s="1477"/>
      <c r="V682" s="1477"/>
      <c r="W682" s="1477"/>
      <c r="X682" s="1477"/>
      <c r="Y682" s="1477"/>
      <c r="Z682" s="1477"/>
    </row>
    <row r="683" spans="1:26"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80" t="s">
        <v>2069</v>
      </c>
      <c r="G683" s="1480" t="str">
        <f>IF(T683&lt;&gt;"","L","")</f>
        <v>L</v>
      </c>
      <c r="H683" s="1480" t="s">
        <v>2063</v>
      </c>
      <c r="I683" s="1427" t="str">
        <f t="shared" si="80"/>
        <v>Customer Aggregation</v>
      </c>
      <c r="J683" s="1480" t="str">
        <f t="shared" si="85"/>
        <v>F666</v>
      </c>
      <c r="K683" s="1480" t="str">
        <f t="shared" si="81"/>
        <v>Incentives Worksheet</v>
      </c>
      <c r="L683" s="906" t="s">
        <v>1525</v>
      </c>
      <c r="M683" s="1480">
        <v>666</v>
      </c>
      <c r="N683" s="1480"/>
      <c r="O683" s="1477"/>
      <c r="P683" s="1477"/>
      <c r="Q683" s="1477"/>
      <c r="R683" s="1480" t="s">
        <v>1544</v>
      </c>
      <c r="S683" s="1477"/>
      <c r="T683" s="1480">
        <f>IF(Q$670="Yes",7,"")</f>
        <v>7</v>
      </c>
      <c r="U683" s="1477"/>
      <c r="V683" s="1477"/>
      <c r="W683" s="1477"/>
      <c r="X683" s="1477"/>
      <c r="Y683" s="1477"/>
      <c r="Z683" s="1477"/>
    </row>
    <row r="684" spans="1:26"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80" t="str">
        <f>IF(T684&lt;&gt;"","AH","")</f>
        <v>AH</v>
      </c>
      <c r="H684" s="1480" t="s">
        <v>2063</v>
      </c>
      <c r="I684" s="1427" t="str">
        <f t="shared" si="80"/>
        <v>Minimum Units</v>
      </c>
      <c r="J684" s="1480" t="str">
        <f t="shared" si="85"/>
        <v>F667</v>
      </c>
      <c r="K684" s="1480" t="str">
        <f t="shared" si="81"/>
        <v>Incentives Worksheet</v>
      </c>
      <c r="L684" s="906" t="s">
        <v>1403</v>
      </c>
      <c r="M684" s="1480">
        <v>667</v>
      </c>
      <c r="N684" s="1480"/>
      <c r="O684" s="1477"/>
      <c r="P684" s="1477"/>
      <c r="Q684" s="1477"/>
      <c r="R684" s="1480" t="s">
        <v>1544</v>
      </c>
      <c r="S684" s="1477"/>
      <c r="T684" s="1480">
        <f t="shared" ref="T684:T686" si="88">IF(Q$670="Yes",7,"")</f>
        <v>7</v>
      </c>
      <c r="U684" s="1477"/>
      <c r="V684" s="1477"/>
      <c r="W684" s="1477"/>
      <c r="X684" s="1477"/>
      <c r="Y684" s="1477"/>
      <c r="Z684" s="1477"/>
    </row>
    <row r="685" spans="1:26"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80"/>
      <c r="H685" s="1480"/>
      <c r="I685" s="1427" t="str">
        <f t="shared" si="80"/>
        <v/>
      </c>
      <c r="J685" s="1480"/>
      <c r="K685" s="1480" t="str">
        <f t="shared" si="81"/>
        <v/>
      </c>
      <c r="L685" s="906" t="s">
        <v>1404</v>
      </c>
      <c r="M685" s="1480">
        <v>668</v>
      </c>
      <c r="N685" s="1480"/>
      <c r="O685" s="1477"/>
      <c r="P685" s="1477"/>
      <c r="Q685" s="1477"/>
      <c r="R685" s="1480" t="s">
        <v>1544</v>
      </c>
      <c r="S685" s="1477"/>
      <c r="T685" s="1480">
        <f t="shared" si="88"/>
        <v>7</v>
      </c>
      <c r="U685" s="1477"/>
      <c r="V685" s="1477"/>
      <c r="W685" s="1477"/>
      <c r="X685" s="1477"/>
      <c r="Y685" s="1477"/>
      <c r="Z685" s="1477"/>
    </row>
    <row r="686" spans="1:26"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80" t="s">
        <v>1985</v>
      </c>
      <c r="G686" s="1480" t="str">
        <f>IF(T686&lt;&gt;"","AI","")</f>
        <v>AI</v>
      </c>
      <c r="H686" s="1480" t="s">
        <v>2063</v>
      </c>
      <c r="I686" s="1427" t="str">
        <f t="shared" si="80"/>
        <v/>
      </c>
      <c r="J686" s="1480"/>
      <c r="K686" s="1480" t="str">
        <f t="shared" si="81"/>
        <v/>
      </c>
      <c r="L686" s="906" t="s">
        <v>1405</v>
      </c>
      <c r="M686" s="1480">
        <v>669</v>
      </c>
      <c r="N686" s="1480"/>
      <c r="O686" s="1477"/>
      <c r="P686" s="1477"/>
      <c r="Q686" s="1477"/>
      <c r="R686" s="1480" t="s">
        <v>1544</v>
      </c>
      <c r="S686" s="1477"/>
      <c r="T686" s="1480">
        <f t="shared" si="88"/>
        <v>7</v>
      </c>
      <c r="U686" s="1477"/>
      <c r="V686" s="1477"/>
      <c r="W686" s="1477"/>
      <c r="X686" s="1477"/>
      <c r="Y686" s="1477"/>
      <c r="Z686" s="1477"/>
    </row>
    <row r="687" spans="1:26"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80" t="s">
        <v>1510</v>
      </c>
      <c r="G687" s="1480" t="str">
        <f>IF(T687&lt;&gt;"","A","")</f>
        <v/>
      </c>
      <c r="H687" s="1480" t="s">
        <v>2063</v>
      </c>
      <c r="I687" s="1427" t="str">
        <f t="shared" si="80"/>
        <v/>
      </c>
      <c r="J687" s="1480"/>
      <c r="K687" s="1480" t="str">
        <f t="shared" si="81"/>
        <v/>
      </c>
      <c r="L687" s="906" t="s">
        <v>1510</v>
      </c>
      <c r="M687" s="1480">
        <v>670</v>
      </c>
      <c r="N687" s="1480"/>
      <c r="O687" s="1477" t="s">
        <v>728</v>
      </c>
      <c r="P687" s="1477"/>
      <c r="Q687" s="1477"/>
      <c r="R687" s="1480" t="s">
        <v>1544</v>
      </c>
      <c r="S687" s="1477"/>
      <c r="T687" s="1480" t="str">
        <f t="shared" ref="T687:T704" si="89">IF(Q$688="Yes",8,"")</f>
        <v/>
      </c>
      <c r="U687" s="1477"/>
      <c r="V687" s="1477"/>
      <c r="W687" s="1477"/>
      <c r="X687" s="1477"/>
      <c r="Y687" s="1477"/>
      <c r="Z687" s="1477"/>
    </row>
    <row r="688" spans="1:26"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80"/>
      <c r="G688" s="1480"/>
      <c r="H688" s="1480"/>
      <c r="I688" s="1427" t="str">
        <f t="shared" si="80"/>
        <v/>
      </c>
      <c r="J688" s="1480" t="str">
        <f t="shared" ref="J688:J702" si="90">IF(M688&lt;&gt;"",IF($Q$688="Yes",Q$1&amp;M688,""))</f>
        <v/>
      </c>
      <c r="K688" s="1480" t="str">
        <f t="shared" si="81"/>
        <v/>
      </c>
      <c r="L688" s="906" t="s">
        <v>1724</v>
      </c>
      <c r="M688" s="1480">
        <v>671</v>
      </c>
      <c r="N688" s="1480"/>
      <c r="O688" s="1477">
        <f>'Configurable Tab'!H10</f>
        <v>105</v>
      </c>
      <c r="P688" s="1477"/>
      <c r="Q688" s="1477" t="s">
        <v>651</v>
      </c>
      <c r="R688" s="1480" t="s">
        <v>1544</v>
      </c>
      <c r="S688" s="1477"/>
      <c r="T688" s="1480" t="str">
        <f t="shared" si="89"/>
        <v/>
      </c>
      <c r="U688" s="1477"/>
      <c r="V688" s="1477"/>
      <c r="W688" s="1477"/>
      <c r="X688" s="1477"/>
      <c r="Y688" s="1477"/>
      <c r="Z688" s="1477"/>
    </row>
    <row r="689" spans="1:26"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80" t="s">
        <v>1399</v>
      </c>
      <c r="G689" s="1480" t="str">
        <f>IF(T689&lt;&gt;"","B","")</f>
        <v/>
      </c>
      <c r="H689" s="1480" t="s">
        <v>2063</v>
      </c>
      <c r="I689" s="1427" t="str">
        <f t="shared" si="80"/>
        <v/>
      </c>
      <c r="J689" s="1480"/>
      <c r="K689" s="1480" t="str">
        <f t="shared" si="81"/>
        <v/>
      </c>
      <c r="L689" s="906" t="s">
        <v>1399</v>
      </c>
      <c r="M689" s="1480">
        <v>672</v>
      </c>
      <c r="N689" s="1480"/>
      <c r="O689" s="1477" t="s">
        <v>729</v>
      </c>
      <c r="P689" s="1477"/>
      <c r="Q689" s="1477"/>
      <c r="R689" s="1480" t="s">
        <v>1544</v>
      </c>
      <c r="S689" s="1477"/>
      <c r="T689" s="1480" t="str">
        <f t="shared" si="89"/>
        <v/>
      </c>
      <c r="U689" s="1477"/>
      <c r="V689" s="1477"/>
      <c r="W689" s="1477"/>
      <c r="X689" s="1477"/>
      <c r="Y689" s="1477"/>
      <c r="Z689" s="1477"/>
    </row>
    <row r="690" spans="1:26" x14ac:dyDescent="0.25">
      <c r="A690" s="932" t="s">
        <v>1396</v>
      </c>
      <c r="B690" s="906" t="str">
        <f t="shared" ref="B690:B696" ca="1" si="91">_xlfn.CONCAT(IFERROR(SUBSTITUTE(ADDRESS(1,MATCH(A690,INDIRECT("'"&amp;E690&amp;"'"&amp;"!A" &amp; $O$688 + 2 &amp; ":Z" &amp; $O$688 + 2),0),4),1,""),""),$O$688 + 2)</f>
        <v>H107</v>
      </c>
      <c r="C690" s="906" t="str">
        <f t="shared" ref="C690:C696" ca="1" si="92">_xlfn.CONCAT(IFERROR(SUBSTITUTE(ADDRESS(1,MATCH(A690,INDIRECT("'"&amp;E690&amp;"'"&amp;"!A" &amp; $O$688 + 2 &amp; ":Z" &amp; $O$688 + 2),0),4),1,""),""),$O$688 + 3)</f>
        <v>H108</v>
      </c>
      <c r="D690" s="906" t="s">
        <v>1365</v>
      </c>
      <c r="E690" s="906" t="s">
        <v>1535</v>
      </c>
      <c r="F690" s="1480" t="s">
        <v>2064</v>
      </c>
      <c r="G690" s="1480" t="str">
        <f>IF(T690&lt;&gt;"","E","")</f>
        <v/>
      </c>
      <c r="H690" s="1480" t="s">
        <v>2063</v>
      </c>
      <c r="I690" s="1427" t="str">
        <f t="shared" si="80"/>
        <v/>
      </c>
      <c r="J690" s="1480" t="str">
        <f t="shared" si="90"/>
        <v/>
      </c>
      <c r="K690" s="1480" t="str">
        <f t="shared" si="81"/>
        <v/>
      </c>
      <c r="L690" s="906" t="s">
        <v>1396</v>
      </c>
      <c r="M690" s="1480">
        <v>673</v>
      </c>
      <c r="N690" s="1480"/>
      <c r="O690" s="1477">
        <f>'Configurable Tab'!I10</f>
        <v>118</v>
      </c>
      <c r="P690" s="1477"/>
      <c r="Q690" s="1477"/>
      <c r="R690" s="1480" t="s">
        <v>1544</v>
      </c>
      <c r="S690" s="1477"/>
      <c r="T690" s="1480" t="str">
        <f t="shared" si="89"/>
        <v/>
      </c>
      <c r="U690" s="1477"/>
      <c r="V690" s="1477"/>
      <c r="W690" s="1477"/>
      <c r="X690" s="1477"/>
      <c r="Y690" s="1477"/>
      <c r="Z690" s="1477"/>
    </row>
    <row r="691" spans="1:26" x14ac:dyDescent="0.25">
      <c r="A691" s="932" t="s">
        <v>1397</v>
      </c>
      <c r="B691" s="906" t="str">
        <f t="shared" ca="1" si="91"/>
        <v>J107</v>
      </c>
      <c r="C691" s="906" t="str">
        <f t="shared" ca="1" si="92"/>
        <v>J108</v>
      </c>
      <c r="D691" s="906" t="s">
        <v>1365</v>
      </c>
      <c r="E691" s="906" t="s">
        <v>1535</v>
      </c>
      <c r="F691" s="1480" t="s">
        <v>2065</v>
      </c>
      <c r="G691" s="1480" t="str">
        <f>IF(T691&lt;&gt;"","I","")</f>
        <v/>
      </c>
      <c r="H691" s="1480" t="s">
        <v>2063</v>
      </c>
      <c r="I691" s="1427" t="str">
        <f t="shared" si="80"/>
        <v/>
      </c>
      <c r="J691" s="1480" t="str">
        <f t="shared" si="90"/>
        <v/>
      </c>
      <c r="K691" s="1480" t="str">
        <f t="shared" si="81"/>
        <v/>
      </c>
      <c r="L691" s="906" t="s">
        <v>1397</v>
      </c>
      <c r="M691" s="1480">
        <v>674</v>
      </c>
      <c r="N691" s="1480"/>
      <c r="O691" s="1477" t="s">
        <v>1658</v>
      </c>
      <c r="P691" s="1477"/>
      <c r="Q691" s="1477"/>
      <c r="R691" s="1480" t="s">
        <v>1544</v>
      </c>
      <c r="S691" s="1477"/>
      <c r="T691" s="1480" t="str">
        <f t="shared" si="89"/>
        <v/>
      </c>
      <c r="U691" s="1477"/>
      <c r="V691" s="1477"/>
      <c r="W691" s="1477"/>
      <c r="X691" s="1477"/>
      <c r="Y691" s="1477"/>
      <c r="Z691" s="1477"/>
    </row>
    <row r="692" spans="1:26" x14ac:dyDescent="0.25">
      <c r="A692" s="932" t="s">
        <v>1413</v>
      </c>
      <c r="B692" s="906" t="str">
        <f t="shared" ca="1" si="91"/>
        <v>L107</v>
      </c>
      <c r="C692" s="906" t="str">
        <f t="shared" ca="1" si="92"/>
        <v>L108</v>
      </c>
      <c r="D692" s="906" t="s">
        <v>1365</v>
      </c>
      <c r="E692" s="906" t="s">
        <v>1535</v>
      </c>
      <c r="F692" s="1480" t="s">
        <v>2066</v>
      </c>
      <c r="G692" s="1480" t="str">
        <f>IF(T692&lt;&gt;"","H","")</f>
        <v/>
      </c>
      <c r="H692" s="1480" t="s">
        <v>2063</v>
      </c>
      <c r="I692" s="1427" t="str">
        <f t="shared" si="80"/>
        <v/>
      </c>
      <c r="J692" s="1480" t="str">
        <f t="shared" si="90"/>
        <v/>
      </c>
      <c r="K692" s="1480" t="str">
        <f t="shared" si="81"/>
        <v/>
      </c>
      <c r="L692" s="906" t="s">
        <v>1413</v>
      </c>
      <c r="M692" s="1480">
        <v>675</v>
      </c>
      <c r="N692" s="1480"/>
      <c r="O692" s="1477"/>
      <c r="P692" s="1477"/>
      <c r="Q692" s="1477"/>
      <c r="R692" s="1480" t="s">
        <v>1544</v>
      </c>
      <c r="S692" s="1477"/>
      <c r="T692" s="1480" t="str">
        <f t="shared" si="89"/>
        <v/>
      </c>
      <c r="U692" s="1477"/>
      <c r="V692" s="1477"/>
      <c r="W692" s="1477"/>
      <c r="X692" s="1477"/>
      <c r="Y692" s="1477"/>
      <c r="Z692" s="1477"/>
    </row>
    <row r="693" spans="1:26" x14ac:dyDescent="0.25">
      <c r="A693" s="932" t="s">
        <v>1398</v>
      </c>
      <c r="B693" s="906" t="str">
        <f t="shared" ca="1" si="91"/>
        <v>N107</v>
      </c>
      <c r="C693" s="906" t="str">
        <f t="shared" ca="1" si="92"/>
        <v>N108</v>
      </c>
      <c r="D693" s="906" t="s">
        <v>1365</v>
      </c>
      <c r="E693" s="906" t="s">
        <v>1535</v>
      </c>
      <c r="F693" s="1480" t="s">
        <v>1398</v>
      </c>
      <c r="G693" s="1480" t="str">
        <f>IF(T693&lt;&gt;"",IF(Q691="Credit Memo","J",IF(Q691="Check","K","")),"")</f>
        <v/>
      </c>
      <c r="H693" s="1480" t="s">
        <v>2063</v>
      </c>
      <c r="I693" s="1427" t="str">
        <f t="shared" si="80"/>
        <v/>
      </c>
      <c r="J693" s="1480" t="str">
        <f t="shared" si="90"/>
        <v/>
      </c>
      <c r="K693" s="1480" t="str">
        <f t="shared" si="81"/>
        <v/>
      </c>
      <c r="L693" s="906" t="s">
        <v>1398</v>
      </c>
      <c r="M693" s="1480">
        <v>676</v>
      </c>
      <c r="N693" s="1480"/>
      <c r="O693" s="1477"/>
      <c r="P693" s="1477"/>
      <c r="Q693" s="1477"/>
      <c r="R693" s="1480" t="s">
        <v>1544</v>
      </c>
      <c r="S693" s="1477"/>
      <c r="T693" s="1480" t="str">
        <f t="shared" si="89"/>
        <v/>
      </c>
      <c r="U693" s="1477"/>
      <c r="V693" s="1477"/>
      <c r="W693" s="1477"/>
      <c r="X693" s="1477"/>
      <c r="Y693" s="1477"/>
      <c r="Z693" s="1477"/>
    </row>
    <row r="694" spans="1:26" x14ac:dyDescent="0.25">
      <c r="A694" s="932" t="s">
        <v>1505</v>
      </c>
      <c r="B694" s="906" t="str">
        <f t="shared" ca="1" si="91"/>
        <v>P107</v>
      </c>
      <c r="C694" s="906" t="str">
        <f t="shared" ca="1" si="92"/>
        <v>P108</v>
      </c>
      <c r="D694" s="906" t="s">
        <v>1365</v>
      </c>
      <c r="E694" s="906" t="s">
        <v>1535</v>
      </c>
      <c r="F694" s="1480" t="s">
        <v>2067</v>
      </c>
      <c r="G694" s="1480" t="str">
        <f>IF(T694&lt;&gt;"","F","")</f>
        <v/>
      </c>
      <c r="H694" s="1480" t="s">
        <v>2063</v>
      </c>
      <c r="I694" s="1427" t="str">
        <f t="shared" si="80"/>
        <v/>
      </c>
      <c r="J694" s="1480" t="str">
        <f t="shared" si="90"/>
        <v/>
      </c>
      <c r="K694" s="1480" t="str">
        <f t="shared" si="81"/>
        <v/>
      </c>
      <c r="L694" s="906" t="s">
        <v>1505</v>
      </c>
      <c r="M694" s="1480">
        <v>677</v>
      </c>
      <c r="N694" s="1480"/>
      <c r="O694" s="1477"/>
      <c r="P694" s="1477"/>
      <c r="Q694" s="1477"/>
      <c r="R694" s="1480" t="s">
        <v>1544</v>
      </c>
      <c r="S694" s="1477"/>
      <c r="T694" s="1480" t="str">
        <f t="shared" si="89"/>
        <v/>
      </c>
      <c r="U694" s="1477"/>
      <c r="V694" s="1477"/>
      <c r="W694" s="1477"/>
      <c r="X694" s="1477"/>
      <c r="Y694" s="1477"/>
      <c r="Z694" s="1477"/>
    </row>
    <row r="695" spans="1:26" x14ac:dyDescent="0.25">
      <c r="A695" s="932" t="s">
        <v>1506</v>
      </c>
      <c r="B695" s="906" t="str">
        <f t="shared" ca="1" si="91"/>
        <v>R107</v>
      </c>
      <c r="C695" s="906" t="str">
        <f t="shared" ca="1" si="92"/>
        <v>R108</v>
      </c>
      <c r="D695" s="906" t="s">
        <v>1365</v>
      </c>
      <c r="E695" s="906" t="s">
        <v>1535</v>
      </c>
      <c r="F695" s="1480" t="s">
        <v>2068</v>
      </c>
      <c r="G695" s="1480" t="str">
        <f>IF(T695&lt;&gt;"","G","")</f>
        <v/>
      </c>
      <c r="H695" s="1480" t="s">
        <v>2063</v>
      </c>
      <c r="I695" s="1427" t="str">
        <f t="shared" si="80"/>
        <v/>
      </c>
      <c r="J695" s="1480" t="str">
        <f t="shared" si="90"/>
        <v/>
      </c>
      <c r="K695" s="1480" t="str">
        <f t="shared" si="81"/>
        <v/>
      </c>
      <c r="L695" s="906" t="s">
        <v>1506</v>
      </c>
      <c r="M695" s="1480">
        <v>678</v>
      </c>
      <c r="N695" s="1480"/>
      <c r="O695" s="1477"/>
      <c r="P695" s="1477"/>
      <c r="Q695" s="1477"/>
      <c r="R695" s="1480" t="s">
        <v>1544</v>
      </c>
      <c r="S695" s="1477"/>
      <c r="T695" s="1480" t="str">
        <f t="shared" si="89"/>
        <v/>
      </c>
      <c r="U695" s="1477"/>
      <c r="V695" s="1477"/>
      <c r="W695" s="1477"/>
      <c r="X695" s="1477"/>
      <c r="Y695" s="1477"/>
      <c r="Z695" s="1477"/>
    </row>
    <row r="696" spans="1:26" x14ac:dyDescent="0.25">
      <c r="A696" s="932" t="s">
        <v>1507</v>
      </c>
      <c r="B696" s="906" t="str">
        <f t="shared" ca="1" si="91"/>
        <v>T107</v>
      </c>
      <c r="C696" s="906" t="str">
        <f t="shared" ca="1" si="92"/>
        <v>T108</v>
      </c>
      <c r="D696" s="906" t="s">
        <v>1365</v>
      </c>
      <c r="E696" s="906" t="s">
        <v>1535</v>
      </c>
      <c r="F696" s="923" t="s">
        <v>1507</v>
      </c>
      <c r="G696" s="1480" t="str">
        <f>IF(T696&lt;&gt;"","AW","")</f>
        <v/>
      </c>
      <c r="H696" s="1480" t="s">
        <v>2063</v>
      </c>
      <c r="I696" s="1427" t="str">
        <f t="shared" si="80"/>
        <v/>
      </c>
      <c r="J696" s="1480" t="str">
        <f t="shared" si="90"/>
        <v/>
      </c>
      <c r="K696" s="1480" t="str">
        <f t="shared" si="81"/>
        <v/>
      </c>
      <c r="L696" s="906" t="s">
        <v>1507</v>
      </c>
      <c r="M696" s="1480">
        <v>679</v>
      </c>
      <c r="N696" s="1480"/>
      <c r="O696" s="1477"/>
      <c r="P696" s="1477"/>
      <c r="Q696" s="1477"/>
      <c r="R696" s="1480" t="s">
        <v>1544</v>
      </c>
      <c r="S696" s="1477"/>
      <c r="T696" s="1480" t="str">
        <f t="shared" si="89"/>
        <v/>
      </c>
      <c r="U696" s="1477"/>
      <c r="V696" s="1477"/>
      <c r="W696" s="1477"/>
      <c r="X696" s="1477"/>
      <c r="Y696" s="1477"/>
      <c r="Z696" s="1477"/>
    </row>
    <row r="697" spans="1:26"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80" t="s">
        <v>1401</v>
      </c>
      <c r="G697" s="1480" t="str">
        <f>IF(T697&lt;&gt;"","C","")</f>
        <v/>
      </c>
      <c r="H697" s="1480" t="s">
        <v>2063</v>
      </c>
      <c r="I697" s="1427" t="str">
        <f t="shared" si="80"/>
        <v/>
      </c>
      <c r="J697" s="1480"/>
      <c r="K697" s="1480" t="str">
        <f t="shared" si="81"/>
        <v/>
      </c>
      <c r="L697" s="906" t="s">
        <v>1401</v>
      </c>
      <c r="M697" s="1480">
        <v>680</v>
      </c>
      <c r="N697" s="1480"/>
      <c r="O697" s="1477"/>
      <c r="P697" s="1477"/>
      <c r="Q697" s="1477"/>
      <c r="R697" s="1480" t="s">
        <v>1544</v>
      </c>
      <c r="S697" s="1477"/>
      <c r="T697" s="1480" t="str">
        <f t="shared" si="89"/>
        <v/>
      </c>
      <c r="U697" s="1477"/>
      <c r="V697" s="1477"/>
      <c r="W697" s="1477"/>
      <c r="X697" s="1477"/>
      <c r="Y697" s="1477"/>
      <c r="Z697" s="1477"/>
    </row>
    <row r="698" spans="1:26"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80" t="s">
        <v>1402</v>
      </c>
      <c r="G698" s="1480" t="str">
        <f>IF(T698&lt;&gt;"","D","")</f>
        <v/>
      </c>
      <c r="H698" s="1480" t="s">
        <v>2063</v>
      </c>
      <c r="I698" s="1427" t="str">
        <f t="shared" si="80"/>
        <v/>
      </c>
      <c r="J698" s="1480"/>
      <c r="K698" s="1480" t="str">
        <f t="shared" si="81"/>
        <v/>
      </c>
      <c r="L698" s="906" t="s">
        <v>1402</v>
      </c>
      <c r="M698" s="1480">
        <v>681</v>
      </c>
      <c r="N698" s="1480"/>
      <c r="O698" s="1477"/>
      <c r="P698" s="1477"/>
      <c r="Q698" s="1477"/>
      <c r="R698" s="1480" t="s">
        <v>1544</v>
      </c>
      <c r="S698" s="1477"/>
      <c r="T698" s="1480" t="str">
        <f t="shared" si="89"/>
        <v/>
      </c>
      <c r="U698" s="1477"/>
      <c r="V698" s="1477"/>
      <c r="W698" s="1477"/>
      <c r="X698" s="1477"/>
      <c r="Y698" s="1477"/>
      <c r="Z698" s="1477"/>
    </row>
    <row r="699" spans="1:26"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80" t="s">
        <v>1514</v>
      </c>
      <c r="G699" s="1480" t="str">
        <f>IF(T699&lt;&gt;"","AN","")</f>
        <v/>
      </c>
      <c r="H699" s="1480" t="s">
        <v>2063</v>
      </c>
      <c r="I699" s="1427" t="str">
        <f t="shared" si="80"/>
        <v/>
      </c>
      <c r="J699" s="1480" t="str">
        <f t="shared" si="90"/>
        <v/>
      </c>
      <c r="K699" s="1480" t="str">
        <f t="shared" si="81"/>
        <v/>
      </c>
      <c r="L699" s="906" t="s">
        <v>1514</v>
      </c>
      <c r="M699" s="1480">
        <v>682</v>
      </c>
      <c r="N699" s="1480"/>
      <c r="O699" s="1477"/>
      <c r="P699" s="1484" t="str" cm="1">
        <f t="array" aca="1" ref="P699" ca="1">_xlfn.CONCAT("F",RIGHT(B699, LEN(B699) - MAX(IF(ISNUMBER(MID(B699, ROW(INDIRECT("1:"&amp;LEN(B699))), 1) *1)=FALSE, ROW(INDIRECT("1:"&amp;LEN(B699))), 0))))</f>
        <v>F115</v>
      </c>
      <c r="Q699" s="1480" t="str" cm="1">
        <f t="array" aca="1" ref="Q699" ca="1">_xlfn.CONCAT("E",RIGHT(C699, LEN(C699) - MAX(IF(ISNUMBER(MID(C699, ROW(INDIRECT("1:"&amp;LEN(C699))), 1) *1)=FALSE, ROW(INDIRECT("1:"&amp;LEN(C699))), 0))))</f>
        <v>E115</v>
      </c>
      <c r="R699" s="1480" t="s">
        <v>1544</v>
      </c>
      <c r="S699" s="1477"/>
      <c r="T699" s="1480" t="str">
        <f t="shared" si="89"/>
        <v/>
      </c>
      <c r="U699" s="1477"/>
      <c r="V699" s="1477"/>
      <c r="W699" s="1477"/>
      <c r="X699" s="1477"/>
      <c r="Y699" s="1477"/>
      <c r="Z699" s="1477"/>
    </row>
    <row r="700" spans="1:26"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80" t="s">
        <v>1511</v>
      </c>
      <c r="G700" s="1480" t="str">
        <f>IF(T700&lt;&gt;"","AL","")</f>
        <v/>
      </c>
      <c r="H700" s="1480" t="s">
        <v>2063</v>
      </c>
      <c r="I700" s="1427" t="str">
        <f t="shared" si="80"/>
        <v/>
      </c>
      <c r="J700" s="1480" t="str">
        <f t="shared" si="90"/>
        <v/>
      </c>
      <c r="K700" s="1480" t="str">
        <f t="shared" si="81"/>
        <v/>
      </c>
      <c r="L700" s="906" t="s">
        <v>1511</v>
      </c>
      <c r="M700" s="1480">
        <v>683</v>
      </c>
      <c r="N700" s="1480"/>
      <c r="O700" s="1477"/>
      <c r="P700" s="1477"/>
      <c r="Q700" s="1477"/>
      <c r="R700" s="1480" t="s">
        <v>1544</v>
      </c>
      <c r="S700" s="1477"/>
      <c r="T700" s="1480" t="str">
        <f t="shared" si="89"/>
        <v/>
      </c>
      <c r="U700" s="1477"/>
      <c r="V700" s="1477"/>
      <c r="W700" s="1477"/>
      <c r="X700" s="1477"/>
      <c r="Y700" s="1477"/>
      <c r="Z700" s="1477"/>
    </row>
    <row r="701" spans="1:26"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80" t="s">
        <v>2069</v>
      </c>
      <c r="G701" s="1480" t="str">
        <f>IF(T701&lt;&gt;"","L","")</f>
        <v/>
      </c>
      <c r="H701" s="1480" t="s">
        <v>2063</v>
      </c>
      <c r="I701" s="1427" t="str">
        <f t="shared" si="80"/>
        <v/>
      </c>
      <c r="J701" s="1480" t="str">
        <f t="shared" si="90"/>
        <v/>
      </c>
      <c r="K701" s="1480" t="str">
        <f t="shared" si="81"/>
        <v/>
      </c>
      <c r="L701" s="906" t="s">
        <v>1525</v>
      </c>
      <c r="M701" s="1480">
        <v>684</v>
      </c>
      <c r="N701" s="1480"/>
      <c r="O701" s="1477"/>
      <c r="P701" s="1477"/>
      <c r="Q701" s="1477"/>
      <c r="R701" s="1480" t="s">
        <v>1544</v>
      </c>
      <c r="S701" s="1477"/>
      <c r="T701" s="1480" t="str">
        <f t="shared" si="89"/>
        <v/>
      </c>
      <c r="U701" s="1477"/>
      <c r="V701" s="1477"/>
      <c r="W701" s="1477"/>
      <c r="X701" s="1477"/>
      <c r="Y701" s="1477"/>
      <c r="Z701" s="1477"/>
    </row>
    <row r="702" spans="1:26"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80" t="str">
        <f>IF(T702&lt;&gt;"","AH","")</f>
        <v/>
      </c>
      <c r="H702" s="1480" t="s">
        <v>2063</v>
      </c>
      <c r="I702" s="1427" t="str">
        <f t="shared" si="80"/>
        <v/>
      </c>
      <c r="J702" s="1480" t="str">
        <f t="shared" si="90"/>
        <v/>
      </c>
      <c r="K702" s="1480" t="str">
        <f t="shared" si="81"/>
        <v/>
      </c>
      <c r="L702" s="906" t="s">
        <v>1403</v>
      </c>
      <c r="M702" s="1480">
        <v>685</v>
      </c>
      <c r="N702" s="1480"/>
      <c r="O702" s="1477"/>
      <c r="P702" s="1477"/>
      <c r="Q702" s="1477"/>
      <c r="R702" s="1480" t="s">
        <v>1544</v>
      </c>
      <c r="S702" s="1477"/>
      <c r="T702" s="1480" t="str">
        <f t="shared" si="89"/>
        <v/>
      </c>
      <c r="U702" s="1477"/>
      <c r="V702" s="1477"/>
      <c r="W702" s="1477"/>
      <c r="X702" s="1477"/>
      <c r="Y702" s="1477"/>
      <c r="Z702" s="1477"/>
    </row>
    <row r="703" spans="1:26"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80"/>
      <c r="H703" s="1480"/>
      <c r="I703" s="1427" t="str">
        <f t="shared" si="80"/>
        <v/>
      </c>
      <c r="J703" s="1480"/>
      <c r="K703" s="1480" t="str">
        <f t="shared" si="81"/>
        <v/>
      </c>
      <c r="L703" s="906" t="s">
        <v>1404</v>
      </c>
      <c r="M703" s="1480">
        <v>686</v>
      </c>
      <c r="N703" s="1480"/>
      <c r="O703" s="1477"/>
      <c r="P703" s="1477"/>
      <c r="Q703" s="1477"/>
      <c r="R703" s="1480" t="s">
        <v>1544</v>
      </c>
      <c r="S703" s="1477"/>
      <c r="T703" s="1480" t="str">
        <f t="shared" si="89"/>
        <v/>
      </c>
      <c r="U703" s="1477"/>
      <c r="V703" s="1477"/>
      <c r="W703" s="1477"/>
      <c r="X703" s="1477"/>
      <c r="Y703" s="1477"/>
      <c r="Z703" s="1477"/>
    </row>
    <row r="704" spans="1:26"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80" t="s">
        <v>1985</v>
      </c>
      <c r="G704" s="1480" t="str">
        <f>IF(T704&lt;&gt;"","AI","")</f>
        <v/>
      </c>
      <c r="H704" s="1480" t="s">
        <v>2063</v>
      </c>
      <c r="I704" s="1427" t="str">
        <f t="shared" si="80"/>
        <v/>
      </c>
      <c r="J704" s="1480"/>
      <c r="K704" s="1480" t="str">
        <f t="shared" si="81"/>
        <v/>
      </c>
      <c r="L704" s="906" t="s">
        <v>1405</v>
      </c>
      <c r="M704" s="1480">
        <v>687</v>
      </c>
      <c r="N704" s="1480"/>
      <c r="O704" s="1477"/>
      <c r="P704" s="1477"/>
      <c r="Q704" s="1477"/>
      <c r="R704" s="1480" t="s">
        <v>1544</v>
      </c>
      <c r="S704" s="1477"/>
      <c r="T704" s="1480" t="str">
        <f t="shared" si="89"/>
        <v/>
      </c>
      <c r="U704" s="1477"/>
      <c r="V704" s="1477"/>
      <c r="W704" s="1477"/>
      <c r="X704" s="1477"/>
      <c r="Y704" s="1477"/>
      <c r="Z704" s="1477"/>
    </row>
    <row r="705" spans="1:26"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80" t="s">
        <v>1510</v>
      </c>
      <c r="G705" s="1480" t="str">
        <f>IF(T705&lt;&gt;"","A","")</f>
        <v/>
      </c>
      <c r="H705" s="1480" t="s">
        <v>2063</v>
      </c>
      <c r="I705" s="1427" t="str">
        <f t="shared" si="80"/>
        <v/>
      </c>
      <c r="J705" s="1480"/>
      <c r="K705" s="1480" t="str">
        <f t="shared" si="81"/>
        <v/>
      </c>
      <c r="L705" s="906" t="s">
        <v>1510</v>
      </c>
      <c r="M705" s="1480">
        <v>688</v>
      </c>
      <c r="N705" s="1480"/>
      <c r="O705" s="1477" t="s">
        <v>728</v>
      </c>
      <c r="P705" s="1477"/>
      <c r="Q705" s="1477"/>
      <c r="R705" s="1480" t="s">
        <v>1544</v>
      </c>
      <c r="S705" s="1477"/>
      <c r="T705" s="1480" t="str">
        <f t="shared" ref="T705:T718" si="93">IF(Q$706="Yes",9,"")</f>
        <v/>
      </c>
      <c r="U705" s="1477"/>
      <c r="V705" s="1477"/>
      <c r="W705" s="1477"/>
      <c r="X705" s="1477"/>
      <c r="Y705" s="1477"/>
      <c r="Z705" s="1477"/>
    </row>
    <row r="706" spans="1:26"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80"/>
      <c r="G706" s="1480"/>
      <c r="H706" s="1480"/>
      <c r="I706" s="1427" t="str">
        <f t="shared" si="80"/>
        <v/>
      </c>
      <c r="J706" s="1480" t="str">
        <f t="shared" ref="J706:J732" si="94">IF(M706&lt;&gt;"",IF($Q$706="Yes",Q$1&amp;M706,""))</f>
        <v/>
      </c>
      <c r="K706" s="1480" t="str">
        <f t="shared" si="81"/>
        <v/>
      </c>
      <c r="L706" s="906" t="s">
        <v>1724</v>
      </c>
      <c r="M706" s="1480">
        <v>689</v>
      </c>
      <c r="N706" s="1480"/>
      <c r="O706" s="1477">
        <f>'Configurable Tab'!H11</f>
        <v>119</v>
      </c>
      <c r="P706" s="1477"/>
      <c r="Q706" s="1477" t="s">
        <v>651</v>
      </c>
      <c r="R706" s="1480" t="s">
        <v>1544</v>
      </c>
      <c r="S706" s="1477"/>
      <c r="T706" s="1480" t="str">
        <f t="shared" si="93"/>
        <v/>
      </c>
      <c r="U706" s="1477"/>
      <c r="V706" s="1477"/>
      <c r="W706" s="1477"/>
      <c r="X706" s="1477"/>
      <c r="Y706" s="1477"/>
      <c r="Z706" s="1477"/>
    </row>
    <row r="707" spans="1:26"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80" t="s">
        <v>1399</v>
      </c>
      <c r="G707" s="1480" t="str">
        <f>IF(T707&lt;&gt;"","B","")</f>
        <v/>
      </c>
      <c r="H707" s="1480" t="s">
        <v>2063</v>
      </c>
      <c r="I707" s="1427" t="str">
        <f t="shared" si="80"/>
        <v/>
      </c>
      <c r="J707" s="1480"/>
      <c r="K707" s="1480" t="str">
        <f t="shared" si="81"/>
        <v/>
      </c>
      <c r="L707" s="906" t="s">
        <v>1399</v>
      </c>
      <c r="M707" s="1480">
        <v>690</v>
      </c>
      <c r="N707" s="1480"/>
      <c r="O707" s="1477" t="s">
        <v>729</v>
      </c>
      <c r="P707" s="1477"/>
      <c r="Q707" s="1477"/>
      <c r="R707" s="1480" t="s">
        <v>1544</v>
      </c>
      <c r="S707" s="1477"/>
      <c r="T707" s="1480" t="str">
        <f t="shared" si="93"/>
        <v/>
      </c>
      <c r="U707" s="1477"/>
      <c r="V707" s="1477"/>
      <c r="W707" s="1477"/>
      <c r="X707" s="1477"/>
      <c r="Y707" s="1477"/>
      <c r="Z707" s="1477"/>
    </row>
    <row r="708" spans="1:26" x14ac:dyDescent="0.25">
      <c r="A708" s="929" t="s">
        <v>1396</v>
      </c>
      <c r="B708" s="906" t="str">
        <f t="shared" ref="B708:B714" ca="1" si="95">_xlfn.CONCAT(IFERROR(SUBSTITUTE(ADDRESS(1,MATCH(A708,INDIRECT("'"&amp;E708&amp;"'"&amp;"!A" &amp; $O$706 + 2 &amp; ":Z" &amp; $O$706+ 2),0),4),1,""),""),$O$706 + 2)</f>
        <v>H121</v>
      </c>
      <c r="C708" s="906" t="str">
        <f t="shared" ref="C708:C714" ca="1" si="96">_xlfn.CONCAT(IFERROR(SUBSTITUTE(ADDRESS(1,MATCH(A708,INDIRECT("'"&amp;E708&amp;"'"&amp;"!A" &amp; $O$706 + 2 &amp; ":Z" &amp; $O$706+ 2),0),4),1,""),""),$O$706 + 3)</f>
        <v>H122</v>
      </c>
      <c r="D708" s="906" t="s">
        <v>1365</v>
      </c>
      <c r="E708" s="906" t="s">
        <v>1535</v>
      </c>
      <c r="F708" s="1480" t="s">
        <v>2064</v>
      </c>
      <c r="G708" s="1480" t="str">
        <f>IF(T708&lt;&gt;"","E","")</f>
        <v/>
      </c>
      <c r="H708" s="1480" t="s">
        <v>2063</v>
      </c>
      <c r="I708" s="1427" t="str">
        <f t="shared" ref="I708:I771" si="97">IF(J708&lt;&gt;"",A708,"")</f>
        <v/>
      </c>
      <c r="J708" s="1480" t="str">
        <f t="shared" si="94"/>
        <v/>
      </c>
      <c r="K708" s="1480" t="str">
        <f t="shared" ref="K708:K771" si="98">IF(J708&lt;&gt;"",E708,"")</f>
        <v/>
      </c>
      <c r="L708" s="906" t="s">
        <v>1396</v>
      </c>
      <c r="M708" s="1480">
        <v>691</v>
      </c>
      <c r="N708" s="1480"/>
      <c r="O708" s="1477">
        <f>'Configurable Tab'!I11</f>
        <v>134</v>
      </c>
      <c r="P708" s="1477"/>
      <c r="Q708" s="1477"/>
      <c r="R708" s="1480" t="s">
        <v>1544</v>
      </c>
      <c r="S708" s="1477"/>
      <c r="T708" s="1480" t="str">
        <f t="shared" si="93"/>
        <v/>
      </c>
      <c r="U708" s="1477"/>
      <c r="V708" s="1477"/>
      <c r="W708" s="1477"/>
      <c r="X708" s="1477"/>
      <c r="Y708" s="1477"/>
      <c r="Z708" s="1477"/>
    </row>
    <row r="709" spans="1:26" x14ac:dyDescent="0.25">
      <c r="A709" s="929" t="s">
        <v>1397</v>
      </c>
      <c r="B709" s="906" t="str">
        <f t="shared" ca="1" si="95"/>
        <v>J121</v>
      </c>
      <c r="C709" s="906" t="str">
        <f t="shared" ca="1" si="96"/>
        <v>J122</v>
      </c>
      <c r="D709" s="906" t="s">
        <v>1365</v>
      </c>
      <c r="E709" s="906" t="s">
        <v>1535</v>
      </c>
      <c r="F709" s="1480" t="s">
        <v>2065</v>
      </c>
      <c r="G709" s="1480" t="str">
        <f>IF(T709&lt;&gt;"","I","")</f>
        <v/>
      </c>
      <c r="H709" s="1480" t="s">
        <v>2063</v>
      </c>
      <c r="I709" s="1427" t="str">
        <f t="shared" si="97"/>
        <v/>
      </c>
      <c r="J709" s="1480" t="str">
        <f t="shared" si="94"/>
        <v/>
      </c>
      <c r="K709" s="1480" t="str">
        <f t="shared" si="98"/>
        <v/>
      </c>
      <c r="L709" s="906" t="s">
        <v>1397</v>
      </c>
      <c r="M709" s="1480">
        <v>692</v>
      </c>
      <c r="N709" s="1480"/>
      <c r="O709" s="1477" t="s">
        <v>1659</v>
      </c>
      <c r="P709" s="1477"/>
      <c r="Q709" s="1477"/>
      <c r="R709" s="1480" t="s">
        <v>1544</v>
      </c>
      <c r="S709" s="1477"/>
      <c r="T709" s="1480" t="str">
        <f t="shared" si="93"/>
        <v/>
      </c>
      <c r="U709" s="1477"/>
      <c r="V709" s="1477"/>
      <c r="W709" s="1477"/>
      <c r="X709" s="1477"/>
      <c r="Y709" s="1477"/>
      <c r="Z709" s="1477"/>
    </row>
    <row r="710" spans="1:26" x14ac:dyDescent="0.25">
      <c r="A710" s="929" t="s">
        <v>1413</v>
      </c>
      <c r="B710" s="906" t="str">
        <f t="shared" ca="1" si="95"/>
        <v>L121</v>
      </c>
      <c r="C710" s="906" t="str">
        <f t="shared" ca="1" si="96"/>
        <v>L122</v>
      </c>
      <c r="D710" s="906" t="s">
        <v>1365</v>
      </c>
      <c r="E710" s="906" t="s">
        <v>1535</v>
      </c>
      <c r="F710" s="1480" t="s">
        <v>2066</v>
      </c>
      <c r="G710" s="1480" t="str">
        <f>IF(T710&lt;&gt;"","H","")</f>
        <v/>
      </c>
      <c r="H710" s="1480" t="s">
        <v>2063</v>
      </c>
      <c r="I710" s="1427" t="str">
        <f t="shared" si="97"/>
        <v/>
      </c>
      <c r="J710" s="1480" t="str">
        <f t="shared" si="94"/>
        <v/>
      </c>
      <c r="K710" s="1480" t="str">
        <f t="shared" si="98"/>
        <v/>
      </c>
      <c r="L710" s="906" t="s">
        <v>1413</v>
      </c>
      <c r="M710" s="1480">
        <v>693</v>
      </c>
      <c r="N710" s="1480"/>
      <c r="O710" s="1477"/>
      <c r="P710" s="1477"/>
      <c r="Q710" s="1477"/>
      <c r="R710" s="1480" t="s">
        <v>1544</v>
      </c>
      <c r="S710" s="1477"/>
      <c r="T710" s="1480" t="str">
        <f t="shared" si="93"/>
        <v/>
      </c>
      <c r="U710" s="1477"/>
      <c r="V710" s="1477"/>
      <c r="W710" s="1477"/>
      <c r="X710" s="1477"/>
      <c r="Y710" s="1477"/>
      <c r="Z710" s="1477"/>
    </row>
    <row r="711" spans="1:26" x14ac:dyDescent="0.25">
      <c r="A711" s="929" t="s">
        <v>1398</v>
      </c>
      <c r="B711" s="906" t="str">
        <f t="shared" ca="1" si="95"/>
        <v>N121</v>
      </c>
      <c r="C711" s="906" t="str">
        <f t="shared" ca="1" si="96"/>
        <v>N122</v>
      </c>
      <c r="D711" s="906" t="s">
        <v>1365</v>
      </c>
      <c r="E711" s="906" t="s">
        <v>1535</v>
      </c>
      <c r="F711" s="1480" t="s">
        <v>1398</v>
      </c>
      <c r="G711" s="1480" t="str">
        <f>IF(T711&lt;&gt;"",IF(Q709="Credit Memo","J",IF(Q709="Check","K","")),"")</f>
        <v/>
      </c>
      <c r="H711" s="1480" t="s">
        <v>2063</v>
      </c>
      <c r="I711" s="1427" t="str">
        <f t="shared" si="97"/>
        <v/>
      </c>
      <c r="J711" s="1480" t="str">
        <f t="shared" si="94"/>
        <v/>
      </c>
      <c r="K711" s="1480" t="str">
        <f t="shared" si="98"/>
        <v/>
      </c>
      <c r="L711" s="906" t="s">
        <v>1398</v>
      </c>
      <c r="M711" s="1480">
        <v>694</v>
      </c>
      <c r="N711" s="1480"/>
      <c r="O711" s="1477"/>
      <c r="P711" s="1477"/>
      <c r="Q711" s="1477"/>
      <c r="R711" s="1480" t="s">
        <v>1544</v>
      </c>
      <c r="S711" s="1477"/>
      <c r="T711" s="1480" t="str">
        <f t="shared" si="93"/>
        <v/>
      </c>
      <c r="U711" s="1477"/>
      <c r="V711" s="1477"/>
      <c r="W711" s="1477"/>
      <c r="X711" s="1477"/>
      <c r="Y711" s="1477"/>
      <c r="Z711" s="1477"/>
    </row>
    <row r="712" spans="1:26" x14ac:dyDescent="0.25">
      <c r="A712" s="929" t="s">
        <v>1505</v>
      </c>
      <c r="B712" s="906" t="str">
        <f t="shared" ca="1" si="95"/>
        <v>P121</v>
      </c>
      <c r="C712" s="906" t="str">
        <f t="shared" ca="1" si="96"/>
        <v>P122</v>
      </c>
      <c r="D712" s="906" t="s">
        <v>1365</v>
      </c>
      <c r="E712" s="906" t="s">
        <v>1535</v>
      </c>
      <c r="F712" s="1480" t="s">
        <v>2067</v>
      </c>
      <c r="G712" s="1480" t="str">
        <f>IF(T712&lt;&gt;"","F","")</f>
        <v/>
      </c>
      <c r="H712" s="1480" t="s">
        <v>2063</v>
      </c>
      <c r="I712" s="1427" t="str">
        <f t="shared" si="97"/>
        <v/>
      </c>
      <c r="J712" s="1480" t="str">
        <f t="shared" si="94"/>
        <v/>
      </c>
      <c r="K712" s="1480" t="str">
        <f t="shared" si="98"/>
        <v/>
      </c>
      <c r="L712" s="906" t="s">
        <v>1505</v>
      </c>
      <c r="M712" s="1480">
        <v>695</v>
      </c>
      <c r="N712" s="1480"/>
      <c r="O712" s="1477"/>
      <c r="P712" s="1477"/>
      <c r="Q712" s="1477"/>
      <c r="R712" s="1480" t="s">
        <v>1544</v>
      </c>
      <c r="S712" s="1477"/>
      <c r="T712" s="1480" t="str">
        <f t="shared" si="93"/>
        <v/>
      </c>
      <c r="U712" s="1477"/>
      <c r="V712" s="1477"/>
      <c r="W712" s="1477"/>
      <c r="X712" s="1477"/>
      <c r="Y712" s="1477"/>
      <c r="Z712" s="1477"/>
    </row>
    <row r="713" spans="1:26" x14ac:dyDescent="0.25">
      <c r="A713" s="929" t="s">
        <v>1506</v>
      </c>
      <c r="B713" s="906" t="str">
        <f t="shared" ca="1" si="95"/>
        <v>R121</v>
      </c>
      <c r="C713" s="906" t="str">
        <f t="shared" ca="1" si="96"/>
        <v>R122</v>
      </c>
      <c r="D713" s="906" t="s">
        <v>1365</v>
      </c>
      <c r="E713" s="906" t="s">
        <v>1535</v>
      </c>
      <c r="F713" s="1480" t="s">
        <v>2068</v>
      </c>
      <c r="G713" s="1480" t="str">
        <f>IF(T713&lt;&gt;"","G","")</f>
        <v/>
      </c>
      <c r="H713" s="1480" t="s">
        <v>2063</v>
      </c>
      <c r="I713" s="1427" t="str">
        <f t="shared" si="97"/>
        <v/>
      </c>
      <c r="J713" s="1480" t="str">
        <f t="shared" si="94"/>
        <v/>
      </c>
      <c r="K713" s="1480" t="str">
        <f t="shared" si="98"/>
        <v/>
      </c>
      <c r="L713" s="906" t="s">
        <v>1506</v>
      </c>
      <c r="M713" s="1480">
        <v>696</v>
      </c>
      <c r="N713" s="1480"/>
      <c r="O713" s="1477"/>
      <c r="P713" s="1477"/>
      <c r="Q713" s="1477"/>
      <c r="R713" s="1480" t="s">
        <v>1544</v>
      </c>
      <c r="S713" s="1477"/>
      <c r="T713" s="1480" t="str">
        <f t="shared" si="93"/>
        <v/>
      </c>
      <c r="U713" s="1477"/>
      <c r="V713" s="1477"/>
      <c r="W713" s="1477"/>
      <c r="X713" s="1477"/>
      <c r="Y713" s="1477"/>
      <c r="Z713" s="1477"/>
    </row>
    <row r="714" spans="1:26" x14ac:dyDescent="0.25">
      <c r="A714" s="929" t="s">
        <v>1507</v>
      </c>
      <c r="B714" s="906" t="str">
        <f t="shared" ca="1" si="95"/>
        <v>T121</v>
      </c>
      <c r="C714" s="906" t="str">
        <f t="shared" ca="1" si="96"/>
        <v>T122</v>
      </c>
      <c r="D714" s="906" t="s">
        <v>1365</v>
      </c>
      <c r="E714" s="906" t="s">
        <v>1535</v>
      </c>
      <c r="F714" s="923" t="s">
        <v>1507</v>
      </c>
      <c r="G714" s="1480" t="str">
        <f>IF(T714&lt;&gt;"","AW","")</f>
        <v/>
      </c>
      <c r="H714" s="1480" t="s">
        <v>2063</v>
      </c>
      <c r="I714" s="1427" t="str">
        <f t="shared" si="97"/>
        <v/>
      </c>
      <c r="J714" s="1480" t="str">
        <f t="shared" si="94"/>
        <v/>
      </c>
      <c r="K714" s="1480" t="str">
        <f t="shared" si="98"/>
        <v/>
      </c>
      <c r="L714" s="906" t="s">
        <v>1507</v>
      </c>
      <c r="M714" s="1480">
        <v>697</v>
      </c>
      <c r="N714" s="1480"/>
      <c r="O714" s="1477"/>
      <c r="P714" s="1477"/>
      <c r="Q714" s="1477"/>
      <c r="R714" s="1480" t="s">
        <v>1544</v>
      </c>
      <c r="S714" s="1477"/>
      <c r="T714" s="1480" t="str">
        <f t="shared" si="93"/>
        <v/>
      </c>
      <c r="U714" s="1477"/>
      <c r="V714" s="1477"/>
      <c r="W714" s="1477"/>
      <c r="X714" s="1477"/>
      <c r="Y714" s="1477"/>
      <c r="Z714" s="1477"/>
    </row>
    <row r="715" spans="1:26"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80" t="s">
        <v>1401</v>
      </c>
      <c r="G715" s="1480" t="str">
        <f>IF(T715&lt;&gt;"","C","")</f>
        <v/>
      </c>
      <c r="H715" s="1480" t="s">
        <v>2063</v>
      </c>
      <c r="I715" s="1427" t="str">
        <f t="shared" si="97"/>
        <v/>
      </c>
      <c r="J715" s="1480"/>
      <c r="K715" s="1480" t="str">
        <f t="shared" si="98"/>
        <v/>
      </c>
      <c r="L715" s="906" t="s">
        <v>1401</v>
      </c>
      <c r="M715" s="1480">
        <v>698</v>
      </c>
      <c r="N715" s="1480"/>
      <c r="O715" s="1477"/>
      <c r="P715" s="1477"/>
      <c r="Q715" s="1477"/>
      <c r="R715" s="1480" t="s">
        <v>1544</v>
      </c>
      <c r="S715" s="1477"/>
      <c r="T715" s="1480" t="str">
        <f t="shared" si="93"/>
        <v/>
      </c>
      <c r="U715" s="1477"/>
      <c r="V715" s="1477"/>
      <c r="W715" s="1477"/>
      <c r="X715" s="1477"/>
      <c r="Y715" s="1477"/>
      <c r="Z715" s="1477"/>
    </row>
    <row r="716" spans="1:26"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80" t="s">
        <v>1402</v>
      </c>
      <c r="G716" s="1480" t="str">
        <f>IF(T716&lt;&gt;"","D","")</f>
        <v/>
      </c>
      <c r="H716" s="1480" t="s">
        <v>2063</v>
      </c>
      <c r="I716" s="1427" t="str">
        <f t="shared" si="97"/>
        <v/>
      </c>
      <c r="J716" s="1480"/>
      <c r="K716" s="1480" t="str">
        <f t="shared" si="98"/>
        <v/>
      </c>
      <c r="L716" s="906" t="s">
        <v>1402</v>
      </c>
      <c r="M716" s="1480">
        <v>699</v>
      </c>
      <c r="N716" s="1480"/>
      <c r="O716" s="1477"/>
      <c r="P716" s="1477"/>
      <c r="Q716" s="1477"/>
      <c r="R716" s="1480" t="s">
        <v>1544</v>
      </c>
      <c r="S716" s="1477"/>
      <c r="T716" s="1480" t="str">
        <f t="shared" si="93"/>
        <v/>
      </c>
      <c r="U716" s="1477"/>
      <c r="V716" s="1477"/>
      <c r="W716" s="1477"/>
      <c r="X716" s="1477"/>
      <c r="Y716" s="1477"/>
      <c r="Z716" s="1477"/>
    </row>
    <row r="717" spans="1:26"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80" t="s">
        <v>1514</v>
      </c>
      <c r="G717" s="1480" t="str">
        <f>IF(T717&lt;&gt;"","AN","")</f>
        <v/>
      </c>
      <c r="H717" s="1480" t="s">
        <v>2063</v>
      </c>
      <c r="I717" s="1427" t="str">
        <f t="shared" si="97"/>
        <v/>
      </c>
      <c r="J717" s="1480" t="str">
        <f t="shared" si="94"/>
        <v/>
      </c>
      <c r="K717" s="1480" t="str">
        <f t="shared" si="98"/>
        <v/>
      </c>
      <c r="L717" s="906" t="s">
        <v>1514</v>
      </c>
      <c r="M717" s="1480">
        <v>700</v>
      </c>
      <c r="N717" s="1480"/>
      <c r="O717" s="1477"/>
      <c r="P717" s="1484" t="str" cm="1">
        <f t="array" aca="1" ref="P717" ca="1">_xlfn.CONCAT("F",RIGHT(B717, LEN(B717) - MAX(IF(ISNUMBER(MID(B717, ROW(INDIRECT("1:"&amp;LEN(B717))), 1) *1)=FALSE, ROW(INDIRECT("1:"&amp;LEN(B717))), 0))))</f>
        <v>F131</v>
      </c>
      <c r="Q717" s="1480" t="str" cm="1">
        <f t="array" aca="1" ref="Q717" ca="1">_xlfn.CONCAT("E",RIGHT(C717, LEN(C717) - MAX(IF(ISNUMBER(MID(C717, ROW(INDIRECT("1:"&amp;LEN(C717))), 1) *1)=FALSE, ROW(INDIRECT("1:"&amp;LEN(C717))), 0))))</f>
        <v>E131</v>
      </c>
      <c r="R717" s="1480" t="s">
        <v>1544</v>
      </c>
      <c r="S717" s="1477"/>
      <c r="T717" s="1480" t="str">
        <f t="shared" si="93"/>
        <v/>
      </c>
      <c r="U717" s="1477"/>
      <c r="V717" s="1477"/>
      <c r="W717" s="1477"/>
      <c r="X717" s="1477"/>
      <c r="Y717" s="1477"/>
      <c r="Z717" s="1477"/>
    </row>
    <row r="718" spans="1:26"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80" t="s">
        <v>1511</v>
      </c>
      <c r="G718" s="1480" t="str">
        <f>IF(T718&lt;&gt;"","AL","")</f>
        <v/>
      </c>
      <c r="H718" s="1480" t="s">
        <v>2063</v>
      </c>
      <c r="I718" s="1427" t="str">
        <f t="shared" si="97"/>
        <v/>
      </c>
      <c r="J718" s="1480" t="str">
        <f t="shared" si="94"/>
        <v/>
      </c>
      <c r="K718" s="1480" t="str">
        <f t="shared" si="98"/>
        <v/>
      </c>
      <c r="L718" s="906" t="s">
        <v>1511</v>
      </c>
      <c r="M718" s="1480">
        <v>701</v>
      </c>
      <c r="N718" s="1480"/>
      <c r="O718" s="1477"/>
      <c r="P718" s="1477"/>
      <c r="Q718" s="1477"/>
      <c r="R718" s="1480" t="s">
        <v>1544</v>
      </c>
      <c r="S718" s="1477"/>
      <c r="T718" s="1480" t="str">
        <f t="shared" si="93"/>
        <v/>
      </c>
      <c r="U718" s="1477"/>
      <c r="V718" s="1477"/>
      <c r="W718" s="1477"/>
      <c r="X718" s="1477"/>
      <c r="Y718" s="1477"/>
      <c r="Z718" s="1477"/>
    </row>
    <row r="719" spans="1:26"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80" t="s">
        <v>2069</v>
      </c>
      <c r="G719" s="1480" t="str">
        <f>IF(T719&lt;&gt;"","L","")</f>
        <v/>
      </c>
      <c r="H719" s="1480" t="s">
        <v>2063</v>
      </c>
      <c r="I719" s="1427" t="str">
        <f t="shared" si="97"/>
        <v/>
      </c>
      <c r="J719" s="1480" t="str">
        <f t="shared" si="94"/>
        <v/>
      </c>
      <c r="K719" s="1480" t="str">
        <f t="shared" si="98"/>
        <v/>
      </c>
      <c r="L719" s="906" t="s">
        <v>1525</v>
      </c>
      <c r="M719" s="1480">
        <v>702</v>
      </c>
      <c r="N719" s="1480"/>
      <c r="O719" s="1477"/>
      <c r="P719" s="1477"/>
      <c r="Q719" s="1477"/>
      <c r="R719" s="1480" t="s">
        <v>1544</v>
      </c>
      <c r="S719" s="1477"/>
      <c r="T719" s="1480" t="str">
        <f>IF(Q$706="Yes",9,"")</f>
        <v/>
      </c>
      <c r="U719" s="1477"/>
      <c r="V719" s="1477"/>
      <c r="W719" s="1477"/>
      <c r="X719" s="1477"/>
      <c r="Y719" s="1477"/>
      <c r="Z719" s="1477"/>
    </row>
    <row r="720" spans="1:26" x14ac:dyDescent="0.25">
      <c r="A720" s="929" t="s">
        <v>1403</v>
      </c>
      <c r="B720" s="906" t="str">
        <f ca="1">_xlfn.IFNA(_xlfn.CONCAT(SUBSTITUTE(ADDRESS(1,MATCH(A720,INDIRECT("'"&amp;E720&amp;"'"&amp;"!A" &amp; $O$706 + 5 &amp; ":Z" &amp; $O$706+ 5),0),4),1,""),$O$706 + 6),"")</f>
        <v>H125</v>
      </c>
      <c r="C720" s="906" t="str">
        <f t="shared" ref="C720:C734" ca="1" si="99">_xlfn.IFNA(SUBSTITUTE(ADDRESS(1,MATCH(A720,INDIRECT("'"&amp;E720&amp;"'"&amp;"!A" &amp; $O$706 + 5 &amp; ":Z" &amp; $O$706+ 5),0),4),1,""),"")</f>
        <v>H</v>
      </c>
      <c r="D720" s="906" t="s">
        <v>1372</v>
      </c>
      <c r="E720" s="906" t="s">
        <v>1535</v>
      </c>
      <c r="F720" s="923"/>
      <c r="G720" s="1480"/>
      <c r="H720" s="1480"/>
      <c r="I720" s="1427" t="str">
        <f t="shared" si="97"/>
        <v/>
      </c>
      <c r="J720" s="1480" t="str">
        <f t="shared" si="94"/>
        <v/>
      </c>
      <c r="K720" s="1480" t="str">
        <f t="shared" si="98"/>
        <v/>
      </c>
      <c r="L720" s="906" t="s">
        <v>1403</v>
      </c>
      <c r="M720" s="1480">
        <v>703</v>
      </c>
      <c r="N720" s="1480"/>
      <c r="O720" s="1477"/>
      <c r="P720" s="1477"/>
      <c r="Q720" s="1477"/>
      <c r="R720" s="1480" t="s">
        <v>1544</v>
      </c>
      <c r="S720" s="1477"/>
      <c r="T720" s="1480" t="str">
        <f t="shared" ref="T720:T734" si="100">IF(Q$706="Yes",9,"")</f>
        <v/>
      </c>
      <c r="U720" s="1477"/>
      <c r="V720" s="1477"/>
      <c r="W720" s="1477"/>
      <c r="X720" s="1477"/>
      <c r="Y720" s="1477"/>
      <c r="Z720" s="1477"/>
    </row>
    <row r="721" spans="1:26" x14ac:dyDescent="0.25">
      <c r="A721" s="929" t="s">
        <v>1404</v>
      </c>
      <c r="B721" s="906" t="str">
        <f ca="1">_xlfn.IFNA(_xlfn.CONCAT(SUBSTITUTE(ADDRESS(1,MATCH(A721,INDIRECT("'"&amp;E721&amp;"'"&amp;"!A" &amp; $O$706 + 5 &amp; ":Z" &amp; $O$706+ 5),0),4),1,""),$O$706 + 6),"")</f>
        <v>J125</v>
      </c>
      <c r="C721" s="906" t="str">
        <f t="shared" ca="1" si="99"/>
        <v>J</v>
      </c>
      <c r="D721" s="906" t="s">
        <v>1372</v>
      </c>
      <c r="E721" s="906" t="s">
        <v>1535</v>
      </c>
      <c r="F721" s="923"/>
      <c r="G721" s="1480"/>
      <c r="H721" s="1480"/>
      <c r="I721" s="1427" t="str">
        <f t="shared" si="97"/>
        <v/>
      </c>
      <c r="J721" s="1480"/>
      <c r="K721" s="1480" t="str">
        <f t="shared" si="98"/>
        <v/>
      </c>
      <c r="L721" s="906" t="s">
        <v>1404</v>
      </c>
      <c r="M721" s="1480">
        <v>704</v>
      </c>
      <c r="N721" s="1480"/>
      <c r="O721" s="1477"/>
      <c r="P721" s="1477"/>
      <c r="Q721" s="1477"/>
      <c r="R721" s="1480" t="s">
        <v>1544</v>
      </c>
      <c r="S721" s="1477"/>
      <c r="T721" s="1480" t="str">
        <f t="shared" si="100"/>
        <v/>
      </c>
      <c r="U721" s="1477"/>
      <c r="V721" s="1477"/>
      <c r="W721" s="1477"/>
      <c r="X721" s="1477"/>
      <c r="Y721" s="1477"/>
      <c r="Z721" s="1477"/>
    </row>
    <row r="722" spans="1:26" x14ac:dyDescent="0.25">
      <c r="A722" s="929" t="s">
        <v>1405</v>
      </c>
      <c r="B722" s="906" t="str">
        <f ca="1">_xlfn.IFNA(_xlfn.CONCAT(SUBSTITUTE(ADDRESS(1,MATCH(A722,INDIRECT("'"&amp;E722&amp;"'"&amp;"!A" &amp; $O$706 + 5 &amp; ":Z" &amp; $O$706+ 5),0),4),1,""),$O$706 + 6),"")</f>
        <v>L125</v>
      </c>
      <c r="C722" s="906" t="str">
        <f t="shared" ca="1" si="99"/>
        <v>L</v>
      </c>
      <c r="D722" s="906" t="s">
        <v>1372</v>
      </c>
      <c r="E722" s="906" t="s">
        <v>1535</v>
      </c>
      <c r="F722" s="1192"/>
      <c r="G722" s="1480"/>
      <c r="H722" s="1480"/>
      <c r="I722" s="1427" t="str">
        <f t="shared" si="97"/>
        <v/>
      </c>
      <c r="J722" s="1480"/>
      <c r="K722" s="1480" t="str">
        <f t="shared" si="98"/>
        <v/>
      </c>
      <c r="L722" s="906" t="s">
        <v>1405</v>
      </c>
      <c r="M722" s="1480">
        <v>705</v>
      </c>
      <c r="N722" s="1480"/>
      <c r="O722" s="1477"/>
      <c r="P722" s="1477"/>
      <c r="Q722" s="1477"/>
      <c r="R722" s="1480" t="s">
        <v>1544</v>
      </c>
      <c r="S722" s="1477"/>
      <c r="T722" s="1480" t="str">
        <f t="shared" si="100"/>
        <v/>
      </c>
      <c r="U722" s="1477"/>
      <c r="V722" s="1477"/>
      <c r="W722" s="1477"/>
      <c r="X722" s="1477"/>
      <c r="Y722" s="1477"/>
      <c r="Z722" s="1477"/>
    </row>
    <row r="723" spans="1:26" x14ac:dyDescent="0.25">
      <c r="A723" s="929" t="s">
        <v>1403</v>
      </c>
      <c r="B723" s="906" t="str">
        <f ca="1">_xlfn.IFNA(_xlfn.CONCAT(SUBSTITUTE(ADDRESS(1,MATCH(A723,INDIRECT("'"&amp;E723&amp;"'"&amp;"!A" &amp; $O$706 + 5 &amp; ":Z" &amp; $O$706+ 5),0),4),1,""),$O$706 + 7),"")</f>
        <v>H126</v>
      </c>
      <c r="C723" s="906" t="str">
        <f t="shared" ca="1" si="99"/>
        <v>H</v>
      </c>
      <c r="D723" s="906" t="s">
        <v>1372</v>
      </c>
      <c r="E723" s="906" t="s">
        <v>1535</v>
      </c>
      <c r="F723" s="1480"/>
      <c r="G723" s="1480"/>
      <c r="H723" s="1480"/>
      <c r="I723" s="1427" t="str">
        <f t="shared" si="97"/>
        <v/>
      </c>
      <c r="J723" s="1480" t="str">
        <f t="shared" si="94"/>
        <v/>
      </c>
      <c r="K723" s="1480" t="str">
        <f t="shared" si="98"/>
        <v/>
      </c>
      <c r="L723" s="906" t="s">
        <v>1403</v>
      </c>
      <c r="M723" s="1480">
        <v>706</v>
      </c>
      <c r="N723" s="1480"/>
      <c r="O723" s="1477"/>
      <c r="P723" s="1477"/>
      <c r="Q723" s="1477"/>
      <c r="R723" s="1480" t="s">
        <v>1544</v>
      </c>
      <c r="S723" s="1477"/>
      <c r="T723" s="1480" t="str">
        <f t="shared" si="100"/>
        <v/>
      </c>
      <c r="U723" s="1477"/>
      <c r="V723" s="1477"/>
      <c r="W723" s="1477"/>
      <c r="X723" s="1477"/>
      <c r="Y723" s="1477"/>
      <c r="Z723" s="1477"/>
    </row>
    <row r="724" spans="1:26" x14ac:dyDescent="0.25">
      <c r="A724" s="929" t="s">
        <v>1404</v>
      </c>
      <c r="B724" s="906" t="str">
        <f ca="1">_xlfn.IFNA(_xlfn.CONCAT(SUBSTITUTE(ADDRESS(1,MATCH(A724,INDIRECT("'"&amp;E724&amp;"'"&amp;"!A" &amp; $O$706 + 5 &amp; ":Z" &amp; $O$706+ 5),0),4),1,""),$O$706 + 7),"")</f>
        <v>J126</v>
      </c>
      <c r="C724" s="906" t="str">
        <f t="shared" ca="1" si="99"/>
        <v>J</v>
      </c>
      <c r="D724" s="906" t="s">
        <v>1372</v>
      </c>
      <c r="E724" s="906" t="s">
        <v>1535</v>
      </c>
      <c r="F724" s="1480"/>
      <c r="G724" s="1480"/>
      <c r="H724" s="1480"/>
      <c r="I724" s="1427" t="str">
        <f t="shared" si="97"/>
        <v/>
      </c>
      <c r="J724" s="1480"/>
      <c r="K724" s="1480" t="str">
        <f t="shared" si="98"/>
        <v/>
      </c>
      <c r="L724" s="906" t="s">
        <v>1404</v>
      </c>
      <c r="M724" s="1480">
        <v>707</v>
      </c>
      <c r="N724" s="1480"/>
      <c r="O724" s="1477"/>
      <c r="P724" s="1477"/>
      <c r="Q724" s="1477"/>
      <c r="R724" s="1480" t="s">
        <v>1544</v>
      </c>
      <c r="S724" s="1477"/>
      <c r="T724" s="1480" t="str">
        <f t="shared" si="100"/>
        <v/>
      </c>
      <c r="U724" s="1477"/>
      <c r="V724" s="1477"/>
      <c r="W724" s="1477"/>
      <c r="X724" s="1477"/>
      <c r="Y724" s="1477"/>
      <c r="Z724" s="1477"/>
    </row>
    <row r="725" spans="1:26" x14ac:dyDescent="0.25">
      <c r="A725" s="929" t="s">
        <v>1405</v>
      </c>
      <c r="B725" s="906" t="str">
        <f ca="1">_xlfn.IFNA(_xlfn.CONCAT(SUBSTITUTE(ADDRESS(1,MATCH(A725,INDIRECT("'"&amp;E725&amp;"'"&amp;"!A" &amp; $O$706 + 5 &amp; ":Z" &amp; $O$706+ 5),0),4),1,""),$O$706 + 7),"")</f>
        <v>L126</v>
      </c>
      <c r="C725" s="906" t="str">
        <f t="shared" ca="1" si="99"/>
        <v>L</v>
      </c>
      <c r="D725" s="906" t="s">
        <v>1372</v>
      </c>
      <c r="E725" s="906" t="s">
        <v>1535</v>
      </c>
      <c r="F725" s="1480"/>
      <c r="G725" s="1480"/>
      <c r="H725" s="1480"/>
      <c r="I725" s="1427" t="str">
        <f t="shared" si="97"/>
        <v/>
      </c>
      <c r="J725" s="1480"/>
      <c r="K725" s="1480" t="str">
        <f t="shared" si="98"/>
        <v/>
      </c>
      <c r="L725" s="906" t="s">
        <v>1405</v>
      </c>
      <c r="M725" s="1480">
        <v>708</v>
      </c>
      <c r="N725" s="1480"/>
      <c r="O725" s="1477"/>
      <c r="P725" s="1477"/>
      <c r="Q725" s="1477"/>
      <c r="R725" s="1480" t="s">
        <v>1544</v>
      </c>
      <c r="S725" s="1477"/>
      <c r="T725" s="1480" t="str">
        <f t="shared" si="100"/>
        <v/>
      </c>
      <c r="U725" s="1477"/>
      <c r="V725" s="1477"/>
      <c r="W725" s="1477"/>
      <c r="X725" s="1477"/>
      <c r="Y725" s="1477"/>
      <c r="Z725" s="1477"/>
    </row>
    <row r="726" spans="1:26" x14ac:dyDescent="0.25">
      <c r="A726" s="929" t="s">
        <v>1403</v>
      </c>
      <c r="B726" s="906" t="str">
        <f ca="1">_xlfn.IFNA(_xlfn.CONCAT(SUBSTITUTE(ADDRESS(1,MATCH(A726,INDIRECT("'"&amp;E726&amp;"'"&amp;"!A" &amp; $O$706 + 5 &amp; ":Z" &amp; $O$706+ 5),0),4),1,""),$O$706 + 8),"")</f>
        <v>H127</v>
      </c>
      <c r="C726" s="906" t="str">
        <f t="shared" ca="1" si="99"/>
        <v>H</v>
      </c>
      <c r="D726" s="906" t="s">
        <v>1372</v>
      </c>
      <c r="E726" s="906" t="s">
        <v>1535</v>
      </c>
      <c r="F726" s="1480"/>
      <c r="G726" s="1480"/>
      <c r="H726" s="1480"/>
      <c r="I726" s="1427" t="str">
        <f t="shared" si="97"/>
        <v/>
      </c>
      <c r="J726" s="1480" t="str">
        <f t="shared" si="94"/>
        <v/>
      </c>
      <c r="K726" s="1480" t="str">
        <f t="shared" si="98"/>
        <v/>
      </c>
      <c r="L726" s="906" t="s">
        <v>1403</v>
      </c>
      <c r="M726" s="1480">
        <v>709</v>
      </c>
      <c r="N726" s="1480"/>
      <c r="O726" s="1477"/>
      <c r="P726" s="1477"/>
      <c r="Q726" s="1477"/>
      <c r="R726" s="1480" t="s">
        <v>1544</v>
      </c>
      <c r="S726" s="1477"/>
      <c r="T726" s="1480" t="str">
        <f t="shared" si="100"/>
        <v/>
      </c>
      <c r="U726" s="1477"/>
      <c r="V726" s="1477"/>
      <c r="W726" s="1477"/>
      <c r="X726" s="1477"/>
      <c r="Y726" s="1477"/>
      <c r="Z726" s="1477"/>
    </row>
    <row r="727" spans="1:26" x14ac:dyDescent="0.25">
      <c r="A727" s="929" t="s">
        <v>1404</v>
      </c>
      <c r="B727" s="906" t="str">
        <f ca="1">_xlfn.IFNA(_xlfn.CONCAT(SUBSTITUTE(ADDRESS(1,MATCH(A727,INDIRECT("'"&amp;E727&amp;"'"&amp;"!A" &amp; $O$706 + 5 &amp; ":Z" &amp; $O$706+ 5),0),4),1,""),$O$706 + 8),"")</f>
        <v>J127</v>
      </c>
      <c r="C727" s="906" t="str">
        <f t="shared" ca="1" si="99"/>
        <v>J</v>
      </c>
      <c r="D727" s="906" t="s">
        <v>1372</v>
      </c>
      <c r="E727" s="906" t="s">
        <v>1535</v>
      </c>
      <c r="F727" s="1480"/>
      <c r="G727" s="1480"/>
      <c r="H727" s="1480"/>
      <c r="I727" s="1427" t="str">
        <f t="shared" si="97"/>
        <v/>
      </c>
      <c r="J727" s="1480"/>
      <c r="K727" s="1480" t="str">
        <f t="shared" si="98"/>
        <v/>
      </c>
      <c r="L727" s="906" t="s">
        <v>1404</v>
      </c>
      <c r="M727" s="1480">
        <v>710</v>
      </c>
      <c r="N727" s="1480"/>
      <c r="O727" s="1477"/>
      <c r="P727" s="1477"/>
      <c r="Q727" s="1477"/>
      <c r="R727" s="1480" t="s">
        <v>1544</v>
      </c>
      <c r="S727" s="1477"/>
      <c r="T727" s="1480" t="str">
        <f t="shared" si="100"/>
        <v/>
      </c>
      <c r="U727" s="1477"/>
      <c r="V727" s="1477"/>
      <c r="W727" s="1477"/>
      <c r="X727" s="1477"/>
      <c r="Y727" s="1477"/>
      <c r="Z727" s="1477"/>
    </row>
    <row r="728" spans="1:26" x14ac:dyDescent="0.25">
      <c r="A728" s="929" t="s">
        <v>1405</v>
      </c>
      <c r="B728" s="906" t="str">
        <f ca="1">_xlfn.IFNA(_xlfn.CONCAT(SUBSTITUTE(ADDRESS(1,MATCH(A728,INDIRECT("'"&amp;E728&amp;"'"&amp;"!A" &amp; $O$706 + 5 &amp; ":Z" &amp; $O$706+ 5),0),4),1,""),$O$706 + 8),"")</f>
        <v>L127</v>
      </c>
      <c r="C728" s="906" t="str">
        <f t="shared" ca="1" si="99"/>
        <v>L</v>
      </c>
      <c r="D728" s="906" t="s">
        <v>1372</v>
      </c>
      <c r="E728" s="906" t="s">
        <v>1535</v>
      </c>
      <c r="F728" s="1480"/>
      <c r="G728" s="1480"/>
      <c r="H728" s="1480"/>
      <c r="I728" s="1427" t="str">
        <f t="shared" si="97"/>
        <v/>
      </c>
      <c r="J728" s="1480"/>
      <c r="K728" s="1480" t="str">
        <f t="shared" si="98"/>
        <v/>
      </c>
      <c r="L728" s="906" t="s">
        <v>1405</v>
      </c>
      <c r="M728" s="1480">
        <v>711</v>
      </c>
      <c r="N728" s="1480"/>
      <c r="O728" s="1477"/>
      <c r="P728" s="1477"/>
      <c r="Q728" s="1477"/>
      <c r="R728" s="1480" t="s">
        <v>1544</v>
      </c>
      <c r="S728" s="1477"/>
      <c r="T728" s="1480" t="str">
        <f t="shared" si="100"/>
        <v/>
      </c>
      <c r="U728" s="1477"/>
      <c r="V728" s="1477"/>
      <c r="W728" s="1477"/>
      <c r="X728" s="1477"/>
      <c r="Y728" s="1477"/>
      <c r="Z728" s="1477"/>
    </row>
    <row r="729" spans="1:26" x14ac:dyDescent="0.25">
      <c r="A729" s="929" t="s">
        <v>1403</v>
      </c>
      <c r="B729" s="906" t="str">
        <f ca="1">_xlfn.IFNA(_xlfn.CONCAT(SUBSTITUTE(ADDRESS(1,MATCH(A729,INDIRECT("'"&amp;E729&amp;"'"&amp;"!A" &amp; $O$706 + 5 &amp; ":Z" &amp; $O$706+ 5),0),4),1,""),$O$706 + 9),"")</f>
        <v>H128</v>
      </c>
      <c r="C729" s="906" t="str">
        <f t="shared" ca="1" si="99"/>
        <v>H</v>
      </c>
      <c r="D729" s="906" t="s">
        <v>1372</v>
      </c>
      <c r="E729" s="906" t="s">
        <v>1535</v>
      </c>
      <c r="F729" s="1480"/>
      <c r="G729" s="1480"/>
      <c r="H729" s="1480"/>
      <c r="I729" s="1427" t="str">
        <f t="shared" si="97"/>
        <v/>
      </c>
      <c r="J729" s="1480" t="str">
        <f t="shared" si="94"/>
        <v/>
      </c>
      <c r="K729" s="1480" t="str">
        <f t="shared" si="98"/>
        <v/>
      </c>
      <c r="L729" s="906" t="s">
        <v>1403</v>
      </c>
      <c r="M729" s="1480">
        <v>712</v>
      </c>
      <c r="N729" s="1480"/>
      <c r="O729" s="1477"/>
      <c r="P729" s="1477"/>
      <c r="Q729" s="1477"/>
      <c r="R729" s="1480" t="s">
        <v>1544</v>
      </c>
      <c r="S729" s="1477"/>
      <c r="T729" s="1480" t="str">
        <f t="shared" si="100"/>
        <v/>
      </c>
      <c r="U729" s="1477"/>
      <c r="V729" s="1477"/>
      <c r="W729" s="1477"/>
      <c r="X729" s="1477"/>
      <c r="Y729" s="1477"/>
      <c r="Z729" s="1477"/>
    </row>
    <row r="730" spans="1:26" x14ac:dyDescent="0.25">
      <c r="A730" s="929" t="s">
        <v>1404</v>
      </c>
      <c r="B730" s="906" t="str">
        <f ca="1">_xlfn.IFNA(_xlfn.CONCAT(SUBSTITUTE(ADDRESS(1,MATCH(A730,INDIRECT("'"&amp;E730&amp;"'"&amp;"!A" &amp; $O$706 + 5 &amp; ":Z" &amp; $O$706+ 5),0),4),1,""),$O$706 + 9),"")</f>
        <v>J128</v>
      </c>
      <c r="C730" s="906" t="str">
        <f t="shared" ca="1" si="99"/>
        <v>J</v>
      </c>
      <c r="D730" s="906" t="s">
        <v>1372</v>
      </c>
      <c r="E730" s="906" t="s">
        <v>1535</v>
      </c>
      <c r="F730" s="1480"/>
      <c r="G730" s="1480"/>
      <c r="H730" s="1480"/>
      <c r="I730" s="1427" t="str">
        <f t="shared" si="97"/>
        <v/>
      </c>
      <c r="J730" s="1480"/>
      <c r="K730" s="1480" t="str">
        <f t="shared" si="98"/>
        <v/>
      </c>
      <c r="L730" s="906" t="s">
        <v>1404</v>
      </c>
      <c r="M730" s="1480">
        <v>713</v>
      </c>
      <c r="N730" s="1480"/>
      <c r="O730" s="1477"/>
      <c r="P730" s="1477"/>
      <c r="Q730" s="1477"/>
      <c r="R730" s="1480" t="s">
        <v>1544</v>
      </c>
      <c r="S730" s="1477"/>
      <c r="T730" s="1480" t="str">
        <f t="shared" si="100"/>
        <v/>
      </c>
      <c r="U730" s="1477"/>
      <c r="V730" s="1477"/>
      <c r="W730" s="1477"/>
      <c r="X730" s="1477"/>
      <c r="Y730" s="1477"/>
      <c r="Z730" s="1477"/>
    </row>
    <row r="731" spans="1:26" x14ac:dyDescent="0.25">
      <c r="A731" s="929" t="s">
        <v>1405</v>
      </c>
      <c r="B731" s="906" t="str">
        <f ca="1">_xlfn.IFNA(_xlfn.CONCAT(SUBSTITUTE(ADDRESS(1,MATCH(A731,INDIRECT("'"&amp;E731&amp;"'"&amp;"!A" &amp; $O$706 + 5 &amp; ":Z" &amp; $O$706+ 5),0),4),1,""),$O$706 + 9),"")</f>
        <v>L128</v>
      </c>
      <c r="C731" s="906" t="str">
        <f t="shared" ca="1" si="99"/>
        <v>L</v>
      </c>
      <c r="D731" s="906" t="s">
        <v>1372</v>
      </c>
      <c r="E731" s="906" t="s">
        <v>1535</v>
      </c>
      <c r="F731" s="1480"/>
      <c r="G731" s="1480"/>
      <c r="H731" s="1480"/>
      <c r="I731" s="1427" t="str">
        <f t="shared" si="97"/>
        <v/>
      </c>
      <c r="J731" s="1480"/>
      <c r="K731" s="1480" t="str">
        <f t="shared" si="98"/>
        <v/>
      </c>
      <c r="L731" s="906" t="s">
        <v>1405</v>
      </c>
      <c r="M731" s="1480">
        <v>714</v>
      </c>
      <c r="N731" s="1480"/>
      <c r="O731" s="1477"/>
      <c r="P731" s="1477"/>
      <c r="Q731" s="1477"/>
      <c r="R731" s="1480" t="s">
        <v>1544</v>
      </c>
      <c r="S731" s="1477"/>
      <c r="T731" s="1480" t="str">
        <f t="shared" si="100"/>
        <v/>
      </c>
      <c r="U731" s="1477"/>
      <c r="V731" s="1477"/>
      <c r="W731" s="1477"/>
      <c r="X731" s="1477"/>
      <c r="Y731" s="1477"/>
      <c r="Z731" s="1477"/>
    </row>
    <row r="732" spans="1:26" x14ac:dyDescent="0.25">
      <c r="A732" s="929" t="s">
        <v>1403</v>
      </c>
      <c r="B732" s="906" t="str">
        <f ca="1">_xlfn.IFNA(_xlfn.CONCAT(SUBSTITUTE(ADDRESS(1,MATCH(A732,INDIRECT("'"&amp;E732&amp;"'"&amp;"!A" &amp; $O$706 + 5 &amp; ":Z" &amp; $O$706+ 5),0),4),1,""),$O$706 + 10),"")</f>
        <v>H129</v>
      </c>
      <c r="C732" s="906" t="str">
        <f t="shared" ca="1" si="99"/>
        <v>H</v>
      </c>
      <c r="D732" s="906" t="s">
        <v>1372</v>
      </c>
      <c r="E732" s="906" t="s">
        <v>1535</v>
      </c>
      <c r="F732" s="1480"/>
      <c r="G732" s="1480"/>
      <c r="H732" s="1480"/>
      <c r="I732" s="1427" t="str">
        <f t="shared" si="97"/>
        <v/>
      </c>
      <c r="J732" s="1480" t="str">
        <f t="shared" si="94"/>
        <v/>
      </c>
      <c r="K732" s="1480" t="str">
        <f t="shared" si="98"/>
        <v/>
      </c>
      <c r="L732" s="906" t="s">
        <v>1403</v>
      </c>
      <c r="M732" s="1480">
        <v>715</v>
      </c>
      <c r="N732" s="1480"/>
      <c r="O732" s="1477"/>
      <c r="P732" s="1477"/>
      <c r="Q732" s="1477"/>
      <c r="R732" s="1480" t="s">
        <v>1544</v>
      </c>
      <c r="S732" s="1477"/>
      <c r="T732" s="1480" t="str">
        <f t="shared" si="100"/>
        <v/>
      </c>
      <c r="U732" s="1477"/>
      <c r="V732" s="1477"/>
      <c r="W732" s="1477"/>
      <c r="X732" s="1477"/>
      <c r="Y732" s="1477"/>
      <c r="Z732" s="1477"/>
    </row>
    <row r="733" spans="1:26" x14ac:dyDescent="0.25">
      <c r="A733" s="929" t="s">
        <v>1404</v>
      </c>
      <c r="B733" s="906" t="str">
        <f ca="1">_xlfn.IFNA(_xlfn.CONCAT(SUBSTITUTE(ADDRESS(1,MATCH(A733,INDIRECT("'"&amp;E733&amp;"'"&amp;"!A" &amp; $O$706 + 5 &amp; ":Z" &amp; $O$706+ 5),0),4),1,""),$O$706 + 10),"")</f>
        <v>J129</v>
      </c>
      <c r="C733" s="906" t="str">
        <f t="shared" ca="1" si="99"/>
        <v>J</v>
      </c>
      <c r="D733" s="906" t="s">
        <v>1372</v>
      </c>
      <c r="E733" s="906" t="s">
        <v>1535</v>
      </c>
      <c r="F733" s="1480"/>
      <c r="G733" s="1480"/>
      <c r="H733" s="1480"/>
      <c r="I733" s="1427" t="str">
        <f t="shared" si="97"/>
        <v/>
      </c>
      <c r="J733" s="1480"/>
      <c r="K733" s="1480" t="str">
        <f t="shared" si="98"/>
        <v/>
      </c>
      <c r="L733" s="906" t="s">
        <v>1404</v>
      </c>
      <c r="M733" s="1480">
        <v>716</v>
      </c>
      <c r="N733" s="1480"/>
      <c r="O733" s="1477"/>
      <c r="P733" s="1477"/>
      <c r="Q733" s="1477"/>
      <c r="R733" s="1480" t="s">
        <v>1544</v>
      </c>
      <c r="S733" s="1477"/>
      <c r="T733" s="1480" t="str">
        <f t="shared" si="100"/>
        <v/>
      </c>
      <c r="U733" s="1477"/>
      <c r="V733" s="1477"/>
      <c r="W733" s="1477"/>
      <c r="X733" s="1477"/>
      <c r="Y733" s="1477"/>
      <c r="Z733" s="1477"/>
    </row>
    <row r="734" spans="1:26" x14ac:dyDescent="0.25">
      <c r="A734" s="929" t="s">
        <v>1405</v>
      </c>
      <c r="B734" s="906" t="str">
        <f ca="1">_xlfn.IFNA(_xlfn.CONCAT(SUBSTITUTE(ADDRESS(1,MATCH(A734,INDIRECT("'"&amp;E734&amp;"'"&amp;"!A" &amp; $O$706 + 5 &amp; ":Z" &amp; $O$706+ 5),0),4),1,""),$O$706 + 10),"")</f>
        <v>L129</v>
      </c>
      <c r="C734" s="906" t="str">
        <f t="shared" ca="1" si="99"/>
        <v>L</v>
      </c>
      <c r="D734" s="906" t="s">
        <v>1372</v>
      </c>
      <c r="E734" s="906" t="s">
        <v>1535</v>
      </c>
      <c r="F734" s="1480"/>
      <c r="G734" s="1480"/>
      <c r="H734" s="1480"/>
      <c r="I734" s="1427" t="str">
        <f t="shared" si="97"/>
        <v/>
      </c>
      <c r="J734" s="1480"/>
      <c r="K734" s="1480" t="str">
        <f t="shared" si="98"/>
        <v/>
      </c>
      <c r="L734" s="906" t="s">
        <v>1405</v>
      </c>
      <c r="M734" s="1480">
        <v>717</v>
      </c>
      <c r="N734" s="1480"/>
      <c r="O734" s="1477"/>
      <c r="P734" s="1477"/>
      <c r="Q734" s="1477"/>
      <c r="R734" s="1480" t="s">
        <v>1544</v>
      </c>
      <c r="S734" s="1477"/>
      <c r="T734" s="1480" t="str">
        <f t="shared" si="100"/>
        <v/>
      </c>
      <c r="U734" s="1477"/>
      <c r="V734" s="1477"/>
      <c r="W734" s="1477"/>
      <c r="X734" s="1477"/>
      <c r="Y734" s="1477"/>
      <c r="Z734" s="1477"/>
    </row>
    <row r="735" spans="1:26"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80" t="s">
        <v>1510</v>
      </c>
      <c r="G735" s="1480" t="str">
        <f>IF(T735&lt;&gt;"","A","")</f>
        <v/>
      </c>
      <c r="H735" s="1480" t="s">
        <v>2063</v>
      </c>
      <c r="I735" s="1427" t="str">
        <f t="shared" si="97"/>
        <v/>
      </c>
      <c r="J735" s="1480"/>
      <c r="K735" s="1480" t="str">
        <f t="shared" si="98"/>
        <v/>
      </c>
      <c r="L735" s="906" t="s">
        <v>1510</v>
      </c>
      <c r="M735" s="1480">
        <v>718</v>
      </c>
      <c r="N735" s="1480"/>
      <c r="O735" s="1477" t="s">
        <v>728</v>
      </c>
      <c r="P735" s="1477"/>
      <c r="Q735" s="1477"/>
      <c r="R735" s="1480" t="s">
        <v>1544</v>
      </c>
      <c r="S735" s="1477"/>
      <c r="T735" s="1480" t="str">
        <f t="shared" ref="T735:T764" si="101">IF(Q$736="Yes",10,"")</f>
        <v/>
      </c>
      <c r="U735" s="1477"/>
      <c r="V735" s="1477"/>
      <c r="W735" s="1477"/>
      <c r="X735" s="1477"/>
      <c r="Y735" s="1477"/>
      <c r="Z735" s="1477"/>
    </row>
    <row r="736" spans="1:26"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80"/>
      <c r="G736" s="1480"/>
      <c r="H736" s="1480"/>
      <c r="I736" s="1427" t="str">
        <f t="shared" si="97"/>
        <v/>
      </c>
      <c r="J736" s="1480" t="str">
        <f t="shared" ref="J736:J762" si="102">IF(M736&lt;&gt;"",IF($Q$736="Yes",Q$1&amp;M736,""))</f>
        <v/>
      </c>
      <c r="K736" s="1480" t="str">
        <f t="shared" si="98"/>
        <v/>
      </c>
      <c r="L736" s="906" t="s">
        <v>1724</v>
      </c>
      <c r="M736" s="1480">
        <v>719</v>
      </c>
      <c r="N736" s="1480"/>
      <c r="O736" s="1477">
        <f>'Configurable Tab'!H12</f>
        <v>135</v>
      </c>
      <c r="P736" s="1477"/>
      <c r="Q736" s="1477" t="s">
        <v>651</v>
      </c>
      <c r="R736" s="1480" t="s">
        <v>1544</v>
      </c>
      <c r="S736" s="1477"/>
      <c r="T736" s="1480" t="str">
        <f t="shared" si="101"/>
        <v/>
      </c>
      <c r="U736" s="1477"/>
      <c r="V736" s="1477"/>
      <c r="W736" s="1477"/>
      <c r="X736" s="1477"/>
      <c r="Y736" s="1477"/>
      <c r="Z736" s="1477"/>
    </row>
    <row r="737" spans="1:26"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80" t="s">
        <v>1399</v>
      </c>
      <c r="G737" s="1480" t="str">
        <f>IF(T737&lt;&gt;"","B","")</f>
        <v/>
      </c>
      <c r="H737" s="1480" t="s">
        <v>2063</v>
      </c>
      <c r="I737" s="1427" t="str">
        <f t="shared" si="97"/>
        <v/>
      </c>
      <c r="J737" s="1480"/>
      <c r="K737" s="1480" t="str">
        <f t="shared" si="98"/>
        <v/>
      </c>
      <c r="L737" s="906" t="s">
        <v>1399</v>
      </c>
      <c r="M737" s="1480">
        <v>720</v>
      </c>
      <c r="N737" s="1480"/>
      <c r="O737" s="1477" t="s">
        <v>729</v>
      </c>
      <c r="P737" s="1477"/>
      <c r="Q737" s="1477"/>
      <c r="R737" s="1480" t="s">
        <v>1544</v>
      </c>
      <c r="S737" s="1477"/>
      <c r="T737" s="1480" t="str">
        <f t="shared" si="101"/>
        <v/>
      </c>
      <c r="U737" s="1477"/>
      <c r="V737" s="1477"/>
      <c r="W737" s="1477"/>
      <c r="X737" s="1477"/>
      <c r="Y737" s="1477"/>
      <c r="Z737" s="1477"/>
    </row>
    <row r="738" spans="1:26" x14ac:dyDescent="0.25">
      <c r="A738" s="932" t="s">
        <v>1396</v>
      </c>
      <c r="B738" s="906" t="str">
        <f t="shared" ref="B738:B744" ca="1" si="103">_xlfn.CONCAT(IFERROR(SUBSTITUTE(ADDRESS(1,MATCH(A738,INDIRECT("'"&amp;E738&amp;"'"&amp;"!A" &amp; $O$736 + 2 &amp; ":Z" &amp; $O$736+ 2),0),4),1,""),""),$O$736 + 2)</f>
        <v>H137</v>
      </c>
      <c r="C738" s="906" t="str">
        <f t="shared" ref="C738:C744" ca="1" si="104">_xlfn.CONCAT(IFERROR(SUBSTITUTE(ADDRESS(1,MATCH(A738,INDIRECT("'"&amp;E738&amp;"'"&amp;"!A" &amp; $O$736 + 2 &amp; ":Z" &amp; $O$736+ 2),0),4),1,""),""),$O$736 + 3)</f>
        <v>H138</v>
      </c>
      <c r="D738" s="906" t="s">
        <v>1365</v>
      </c>
      <c r="E738" s="906" t="s">
        <v>1535</v>
      </c>
      <c r="F738" s="1480" t="s">
        <v>2064</v>
      </c>
      <c r="G738" s="1480" t="str">
        <f>IF(T738&lt;&gt;"","E","")</f>
        <v/>
      </c>
      <c r="H738" s="1480" t="s">
        <v>2063</v>
      </c>
      <c r="I738" s="1427" t="str">
        <f t="shared" si="97"/>
        <v/>
      </c>
      <c r="J738" s="1480" t="str">
        <f t="shared" si="102"/>
        <v/>
      </c>
      <c r="K738" s="1480" t="str">
        <f t="shared" si="98"/>
        <v/>
      </c>
      <c r="L738" s="906" t="s">
        <v>1396</v>
      </c>
      <c r="M738" s="1480">
        <v>721</v>
      </c>
      <c r="N738" s="1480"/>
      <c r="O738" s="1477">
        <f>'Configurable Tab'!I12</f>
        <v>150</v>
      </c>
      <c r="P738" s="1477"/>
      <c r="Q738" s="1477"/>
      <c r="R738" s="1480" t="s">
        <v>1544</v>
      </c>
      <c r="S738" s="1477"/>
      <c r="T738" s="1480" t="str">
        <f t="shared" si="101"/>
        <v/>
      </c>
      <c r="U738" s="1477"/>
      <c r="V738" s="1477"/>
      <c r="W738" s="1477"/>
      <c r="X738" s="1477"/>
      <c r="Y738" s="1477"/>
      <c r="Z738" s="1477"/>
    </row>
    <row r="739" spans="1:26" x14ac:dyDescent="0.25">
      <c r="A739" s="932" t="s">
        <v>1397</v>
      </c>
      <c r="B739" s="906" t="str">
        <f t="shared" ca="1" si="103"/>
        <v>J137</v>
      </c>
      <c r="C739" s="906" t="str">
        <f t="shared" ca="1" si="104"/>
        <v>J138</v>
      </c>
      <c r="D739" s="906" t="s">
        <v>1365</v>
      </c>
      <c r="E739" s="906" t="s">
        <v>1535</v>
      </c>
      <c r="F739" s="1480" t="s">
        <v>2065</v>
      </c>
      <c r="G739" s="1480" t="str">
        <f>IF(T739&lt;&gt;"","I","")</f>
        <v/>
      </c>
      <c r="H739" s="1480" t="s">
        <v>2063</v>
      </c>
      <c r="I739" s="1427" t="str">
        <f t="shared" si="97"/>
        <v/>
      </c>
      <c r="J739" s="1480" t="str">
        <f t="shared" si="102"/>
        <v/>
      </c>
      <c r="K739" s="1480" t="str">
        <f t="shared" si="98"/>
        <v/>
      </c>
      <c r="L739" s="906" t="s">
        <v>1397</v>
      </c>
      <c r="M739" s="1480">
        <v>722</v>
      </c>
      <c r="N739" s="1480"/>
      <c r="O739" s="1477" t="s">
        <v>1660</v>
      </c>
      <c r="P739" s="1477"/>
      <c r="Q739" s="1477"/>
      <c r="R739" s="1480" t="s">
        <v>1544</v>
      </c>
      <c r="S739" s="1477"/>
      <c r="T739" s="1480" t="str">
        <f t="shared" si="101"/>
        <v/>
      </c>
      <c r="U739" s="1477"/>
      <c r="V739" s="1477"/>
      <c r="W739" s="1477"/>
      <c r="X739" s="1477"/>
      <c r="Y739" s="1477"/>
      <c r="Z739" s="1477"/>
    </row>
    <row r="740" spans="1:26" x14ac:dyDescent="0.25">
      <c r="A740" s="932" t="s">
        <v>1413</v>
      </c>
      <c r="B740" s="906" t="str">
        <f t="shared" ca="1" si="103"/>
        <v>L137</v>
      </c>
      <c r="C740" s="906" t="str">
        <f t="shared" ca="1" si="104"/>
        <v>L138</v>
      </c>
      <c r="D740" s="906" t="s">
        <v>1365</v>
      </c>
      <c r="E740" s="906" t="s">
        <v>1535</v>
      </c>
      <c r="F740" s="1480" t="s">
        <v>2066</v>
      </c>
      <c r="G740" s="1480" t="str">
        <f>IF(T740&lt;&gt;"","H","")</f>
        <v/>
      </c>
      <c r="H740" s="1480" t="s">
        <v>2063</v>
      </c>
      <c r="I740" s="1427" t="str">
        <f t="shared" si="97"/>
        <v/>
      </c>
      <c r="J740" s="1480" t="str">
        <f t="shared" si="102"/>
        <v/>
      </c>
      <c r="K740" s="1480" t="str">
        <f t="shared" si="98"/>
        <v/>
      </c>
      <c r="L740" s="906" t="s">
        <v>1413</v>
      </c>
      <c r="M740" s="1480">
        <v>723</v>
      </c>
      <c r="N740" s="1480"/>
      <c r="O740" s="1477"/>
      <c r="P740" s="1477"/>
      <c r="Q740" s="1477"/>
      <c r="R740" s="1480" t="s">
        <v>1544</v>
      </c>
      <c r="S740" s="1477"/>
      <c r="T740" s="1480" t="str">
        <f t="shared" si="101"/>
        <v/>
      </c>
      <c r="U740" s="1477"/>
      <c r="V740" s="1477"/>
      <c r="W740" s="1477"/>
      <c r="X740" s="1477"/>
      <c r="Y740" s="1477"/>
      <c r="Z740" s="1477"/>
    </row>
    <row r="741" spans="1:26" x14ac:dyDescent="0.25">
      <c r="A741" s="932" t="s">
        <v>1398</v>
      </c>
      <c r="B741" s="906" t="str">
        <f t="shared" ca="1" si="103"/>
        <v>N137</v>
      </c>
      <c r="C741" s="906" t="str">
        <f t="shared" ca="1" si="104"/>
        <v>N138</v>
      </c>
      <c r="D741" s="906" t="s">
        <v>1365</v>
      </c>
      <c r="E741" s="906" t="s">
        <v>1535</v>
      </c>
      <c r="F741" s="1480" t="s">
        <v>1398</v>
      </c>
      <c r="G741" s="1480" t="str">
        <f>IF(T741&lt;&gt;"",IF(Q739="Credit Memo","J",IF(Q739="Check","K","")),"")</f>
        <v/>
      </c>
      <c r="H741" s="1480" t="s">
        <v>2063</v>
      </c>
      <c r="I741" s="1427" t="str">
        <f t="shared" si="97"/>
        <v/>
      </c>
      <c r="J741" s="1480" t="str">
        <f t="shared" si="102"/>
        <v/>
      </c>
      <c r="K741" s="1480" t="str">
        <f t="shared" si="98"/>
        <v/>
      </c>
      <c r="L741" s="906" t="s">
        <v>1398</v>
      </c>
      <c r="M741" s="1480">
        <v>724</v>
      </c>
      <c r="N741" s="1480"/>
      <c r="O741" s="1477"/>
      <c r="P741" s="1477"/>
      <c r="Q741" s="1477"/>
      <c r="R741" s="1480" t="s">
        <v>1544</v>
      </c>
      <c r="S741" s="1477"/>
      <c r="T741" s="1480" t="str">
        <f t="shared" si="101"/>
        <v/>
      </c>
      <c r="U741" s="1477"/>
      <c r="V741" s="1477"/>
      <c r="W741" s="1477"/>
      <c r="X741" s="1477"/>
      <c r="Y741" s="1477"/>
      <c r="Z741" s="1477"/>
    </row>
    <row r="742" spans="1:26" x14ac:dyDescent="0.25">
      <c r="A742" s="932" t="s">
        <v>1505</v>
      </c>
      <c r="B742" s="906" t="str">
        <f t="shared" ca="1" si="103"/>
        <v>P137</v>
      </c>
      <c r="C742" s="906" t="str">
        <f t="shared" ca="1" si="104"/>
        <v>P138</v>
      </c>
      <c r="D742" s="906" t="s">
        <v>1365</v>
      </c>
      <c r="E742" s="906" t="s">
        <v>1535</v>
      </c>
      <c r="F742" s="1480" t="s">
        <v>2067</v>
      </c>
      <c r="G742" s="1480" t="str">
        <f>IF(T742&lt;&gt;"","F","")</f>
        <v/>
      </c>
      <c r="H742" s="1480" t="s">
        <v>2063</v>
      </c>
      <c r="I742" s="1427" t="str">
        <f t="shared" si="97"/>
        <v/>
      </c>
      <c r="J742" s="1480" t="str">
        <f t="shared" si="102"/>
        <v/>
      </c>
      <c r="K742" s="1480" t="str">
        <f t="shared" si="98"/>
        <v/>
      </c>
      <c r="L742" s="906" t="s">
        <v>1505</v>
      </c>
      <c r="M742" s="1480">
        <v>725</v>
      </c>
      <c r="N742" s="1480"/>
      <c r="O742" s="1477"/>
      <c r="P742" s="1477"/>
      <c r="Q742" s="1477"/>
      <c r="R742" s="1480" t="s">
        <v>1544</v>
      </c>
      <c r="S742" s="1477"/>
      <c r="T742" s="1480" t="str">
        <f t="shared" si="101"/>
        <v/>
      </c>
      <c r="U742" s="1477"/>
      <c r="V742" s="1477"/>
      <c r="W742" s="1477"/>
      <c r="X742" s="1477"/>
      <c r="Y742" s="1477"/>
      <c r="Z742" s="1477"/>
    </row>
    <row r="743" spans="1:26" x14ac:dyDescent="0.25">
      <c r="A743" s="932" t="s">
        <v>1506</v>
      </c>
      <c r="B743" s="906" t="str">
        <f t="shared" ca="1" si="103"/>
        <v>R137</v>
      </c>
      <c r="C743" s="906" t="str">
        <f t="shared" ca="1" si="104"/>
        <v>R138</v>
      </c>
      <c r="D743" s="906" t="s">
        <v>1365</v>
      </c>
      <c r="E743" s="906" t="s">
        <v>1535</v>
      </c>
      <c r="F743" s="1480" t="s">
        <v>2068</v>
      </c>
      <c r="G743" s="1480" t="str">
        <f>IF(T743&lt;&gt;"","G","")</f>
        <v/>
      </c>
      <c r="H743" s="1480" t="s">
        <v>2063</v>
      </c>
      <c r="I743" s="1427" t="str">
        <f t="shared" si="97"/>
        <v/>
      </c>
      <c r="J743" s="1480" t="str">
        <f t="shared" si="102"/>
        <v/>
      </c>
      <c r="K743" s="1480" t="str">
        <f t="shared" si="98"/>
        <v/>
      </c>
      <c r="L743" s="906" t="s">
        <v>1506</v>
      </c>
      <c r="M743" s="1480">
        <v>726</v>
      </c>
      <c r="N743" s="1480"/>
      <c r="O743" s="1477"/>
      <c r="P743" s="1477"/>
      <c r="Q743" s="1477"/>
      <c r="R743" s="1480" t="s">
        <v>1544</v>
      </c>
      <c r="S743" s="1477"/>
      <c r="T743" s="1480" t="str">
        <f t="shared" si="101"/>
        <v/>
      </c>
      <c r="U743" s="1477"/>
      <c r="V743" s="1477"/>
      <c r="W743" s="1477"/>
      <c r="X743" s="1477"/>
      <c r="Y743" s="1477"/>
      <c r="Z743" s="1477"/>
    </row>
    <row r="744" spans="1:26" x14ac:dyDescent="0.25">
      <c r="A744" s="932" t="s">
        <v>1507</v>
      </c>
      <c r="B744" s="906" t="str">
        <f t="shared" ca="1" si="103"/>
        <v>T137</v>
      </c>
      <c r="C744" s="906" t="str">
        <f t="shared" ca="1" si="104"/>
        <v>T138</v>
      </c>
      <c r="D744" s="906" t="s">
        <v>1365</v>
      </c>
      <c r="E744" s="906" t="s">
        <v>1535</v>
      </c>
      <c r="F744" s="923" t="s">
        <v>1507</v>
      </c>
      <c r="G744" s="1480" t="str">
        <f>IF(T744&lt;&gt;"","AW","")</f>
        <v/>
      </c>
      <c r="H744" s="1480" t="s">
        <v>2063</v>
      </c>
      <c r="I744" s="1427" t="str">
        <f t="shared" si="97"/>
        <v/>
      </c>
      <c r="J744" s="1480" t="str">
        <f t="shared" si="102"/>
        <v/>
      </c>
      <c r="K744" s="1480" t="str">
        <f t="shared" si="98"/>
        <v/>
      </c>
      <c r="L744" s="906" t="s">
        <v>1507</v>
      </c>
      <c r="M744" s="1480">
        <v>727</v>
      </c>
      <c r="N744" s="1480"/>
      <c r="O744" s="1477"/>
      <c r="P744" s="1477"/>
      <c r="Q744" s="1477"/>
      <c r="R744" s="1480" t="s">
        <v>1544</v>
      </c>
      <c r="S744" s="1477"/>
      <c r="T744" s="1480" t="str">
        <f t="shared" si="101"/>
        <v/>
      </c>
      <c r="U744" s="1477"/>
      <c r="V744" s="1477"/>
      <c r="W744" s="1477"/>
      <c r="X744" s="1477"/>
      <c r="Y744" s="1477"/>
      <c r="Z744" s="1477"/>
    </row>
    <row r="745" spans="1:26"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80" t="s">
        <v>1401</v>
      </c>
      <c r="G745" s="1480" t="str">
        <f>IF(T745&lt;&gt;"","C","")</f>
        <v/>
      </c>
      <c r="H745" s="1480" t="s">
        <v>2063</v>
      </c>
      <c r="I745" s="1427" t="str">
        <f t="shared" si="97"/>
        <v/>
      </c>
      <c r="J745" s="1480"/>
      <c r="K745" s="1480" t="str">
        <f t="shared" si="98"/>
        <v/>
      </c>
      <c r="L745" s="906" t="s">
        <v>1401</v>
      </c>
      <c r="M745" s="1480">
        <v>728</v>
      </c>
      <c r="N745" s="1480"/>
      <c r="O745" s="1477"/>
      <c r="P745" s="1477"/>
      <c r="Q745" s="1477"/>
      <c r="R745" s="1480" t="s">
        <v>1544</v>
      </c>
      <c r="S745" s="1477"/>
      <c r="T745" s="1480" t="str">
        <f t="shared" si="101"/>
        <v/>
      </c>
      <c r="U745" s="1477"/>
      <c r="V745" s="1477"/>
      <c r="W745" s="1477"/>
      <c r="X745" s="1477"/>
      <c r="Y745" s="1477"/>
      <c r="Z745" s="1477"/>
    </row>
    <row r="746" spans="1:26"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80" t="s">
        <v>1402</v>
      </c>
      <c r="G746" s="1480" t="str">
        <f>IF(T746&lt;&gt;"","D","")</f>
        <v/>
      </c>
      <c r="H746" s="1480" t="s">
        <v>2063</v>
      </c>
      <c r="I746" s="1427" t="str">
        <f t="shared" si="97"/>
        <v/>
      </c>
      <c r="J746" s="1480"/>
      <c r="K746" s="1480" t="str">
        <f t="shared" si="98"/>
        <v/>
      </c>
      <c r="L746" s="906" t="s">
        <v>1402</v>
      </c>
      <c r="M746" s="1480">
        <v>729</v>
      </c>
      <c r="N746" s="1480"/>
      <c r="O746" s="1477"/>
      <c r="P746" s="1477"/>
      <c r="Q746" s="1477"/>
      <c r="R746" s="1480" t="s">
        <v>1544</v>
      </c>
      <c r="S746" s="1477"/>
      <c r="T746" s="1480" t="str">
        <f t="shared" si="101"/>
        <v/>
      </c>
      <c r="U746" s="1477"/>
      <c r="V746" s="1477"/>
      <c r="W746" s="1477"/>
      <c r="X746" s="1477"/>
      <c r="Y746" s="1477"/>
      <c r="Z746" s="1477"/>
    </row>
    <row r="747" spans="1:26"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80" t="s">
        <v>1514</v>
      </c>
      <c r="G747" s="1480" t="str">
        <f>IF(T747&lt;&gt;"","AN","")</f>
        <v/>
      </c>
      <c r="H747" s="1480" t="s">
        <v>2063</v>
      </c>
      <c r="I747" s="1427" t="str">
        <f t="shared" si="97"/>
        <v/>
      </c>
      <c r="J747" s="1480" t="str">
        <f t="shared" si="102"/>
        <v/>
      </c>
      <c r="K747" s="1480" t="str">
        <f t="shared" si="98"/>
        <v/>
      </c>
      <c r="L747" s="906" t="s">
        <v>1514</v>
      </c>
      <c r="M747" s="1480">
        <v>730</v>
      </c>
      <c r="N747" s="1480"/>
      <c r="O747" s="1477"/>
      <c r="P747" s="1484" t="str" cm="1">
        <f t="array" aca="1" ref="P747" ca="1">_xlfn.CONCAT("F",RIGHT(B747, LEN(B747) - MAX(IF(ISNUMBER(MID(B747, ROW(INDIRECT("1:"&amp;LEN(B747))), 1) *1)=FALSE, ROW(INDIRECT("1:"&amp;LEN(B747))), 0))))</f>
        <v>F147</v>
      </c>
      <c r="Q747" s="1480" t="str" cm="1">
        <f t="array" aca="1" ref="Q747" ca="1">_xlfn.CONCAT("E",RIGHT(C747, LEN(C747) - MAX(IF(ISNUMBER(MID(C747, ROW(INDIRECT("1:"&amp;LEN(C747))), 1) *1)=FALSE, ROW(INDIRECT("1:"&amp;LEN(C747))), 0))))</f>
        <v>E147</v>
      </c>
      <c r="R747" s="1480" t="s">
        <v>1544</v>
      </c>
      <c r="S747" s="1477"/>
      <c r="T747" s="1480" t="str">
        <f t="shared" si="101"/>
        <v/>
      </c>
      <c r="U747" s="1477"/>
      <c r="V747" s="1477"/>
      <c r="W747" s="1477"/>
      <c r="X747" s="1477"/>
      <c r="Y747" s="1477"/>
      <c r="Z747" s="1477"/>
    </row>
    <row r="748" spans="1:26"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80" t="s">
        <v>1511</v>
      </c>
      <c r="G748" s="1480" t="str">
        <f>IF(T748&lt;&gt;"","AL","")</f>
        <v/>
      </c>
      <c r="H748" s="1480" t="s">
        <v>2063</v>
      </c>
      <c r="I748" s="1427" t="str">
        <f t="shared" si="97"/>
        <v/>
      </c>
      <c r="J748" s="1480" t="str">
        <f t="shared" si="102"/>
        <v/>
      </c>
      <c r="K748" s="1480" t="str">
        <f t="shared" si="98"/>
        <v/>
      </c>
      <c r="L748" s="906" t="s">
        <v>1511</v>
      </c>
      <c r="M748" s="1480">
        <v>731</v>
      </c>
      <c r="N748" s="1480"/>
      <c r="O748" s="1477"/>
      <c r="P748" s="1477"/>
      <c r="Q748" s="1477"/>
      <c r="R748" s="1480" t="s">
        <v>1544</v>
      </c>
      <c r="S748" s="1477"/>
      <c r="T748" s="1480" t="str">
        <f t="shared" si="101"/>
        <v/>
      </c>
      <c r="U748" s="1477"/>
      <c r="V748" s="1477"/>
      <c r="W748" s="1477"/>
      <c r="X748" s="1477"/>
      <c r="Y748" s="1477"/>
      <c r="Z748" s="1477"/>
    </row>
    <row r="749" spans="1:26"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80" t="s">
        <v>2069</v>
      </c>
      <c r="G749" s="1480" t="str">
        <f>IF(T749&lt;&gt;"","L","")</f>
        <v/>
      </c>
      <c r="H749" s="1480" t="s">
        <v>2063</v>
      </c>
      <c r="I749" s="1427" t="str">
        <f t="shared" si="97"/>
        <v/>
      </c>
      <c r="J749" s="1480" t="str">
        <f t="shared" si="102"/>
        <v/>
      </c>
      <c r="K749" s="1480" t="str">
        <f t="shared" si="98"/>
        <v/>
      </c>
      <c r="L749" s="906" t="s">
        <v>1525</v>
      </c>
      <c r="M749" s="1480">
        <v>732</v>
      </c>
      <c r="N749" s="1480"/>
      <c r="O749" s="1477"/>
      <c r="P749" s="1477"/>
      <c r="Q749" s="1477"/>
      <c r="R749" s="1480" t="s">
        <v>1544</v>
      </c>
      <c r="S749" s="1477"/>
      <c r="T749" s="1480" t="str">
        <f t="shared" si="101"/>
        <v/>
      </c>
      <c r="U749" s="1477"/>
      <c r="V749" s="1477"/>
      <c r="W749" s="1477"/>
      <c r="X749" s="1477"/>
      <c r="Y749" s="1477"/>
      <c r="Z749" s="1477"/>
    </row>
    <row r="750" spans="1:26" x14ac:dyDescent="0.25">
      <c r="A750" s="932" t="s">
        <v>1403</v>
      </c>
      <c r="B750" s="906" t="str">
        <f ca="1">_xlfn.IFNA(_xlfn.CONCAT(SUBSTITUTE(ADDRESS(1,MATCH(A750,INDIRECT("'"&amp;E750&amp;"'"&amp;"!A" &amp; $O$736 + 5 &amp; ":Z" &amp; $O$736+ 5),0),4),1,""),$O$736 + 6),"")</f>
        <v>H141</v>
      </c>
      <c r="C750" s="906" t="str">
        <f t="shared" ref="C750:C764" ca="1" si="105">_xlfn.IFNA(SUBSTITUTE(ADDRESS(1,MATCH(A750,INDIRECT("'"&amp;E750&amp;"'"&amp;"!A" &amp; $O$736 + 5 &amp; ":Z" &amp; $O$736+ 5),0),4),1,""),"")</f>
        <v>H</v>
      </c>
      <c r="D750" s="906" t="s">
        <v>1372</v>
      </c>
      <c r="E750" s="906" t="s">
        <v>1535</v>
      </c>
      <c r="F750" s="923"/>
      <c r="G750" s="1480"/>
      <c r="H750" s="1480"/>
      <c r="I750" s="1427" t="str">
        <f t="shared" si="97"/>
        <v/>
      </c>
      <c r="J750" s="1480" t="str">
        <f t="shared" si="102"/>
        <v/>
      </c>
      <c r="K750" s="1480" t="str">
        <f t="shared" si="98"/>
        <v/>
      </c>
      <c r="L750" s="906" t="s">
        <v>1403</v>
      </c>
      <c r="M750" s="1480">
        <v>733</v>
      </c>
      <c r="N750" s="1480"/>
      <c r="O750" s="1477"/>
      <c r="P750" s="1477"/>
      <c r="Q750" s="1477"/>
      <c r="R750" s="1480" t="s">
        <v>1544</v>
      </c>
      <c r="S750" s="1477"/>
      <c r="T750" s="1480" t="str">
        <f t="shared" si="101"/>
        <v/>
      </c>
      <c r="U750" s="1477"/>
      <c r="V750" s="1477"/>
      <c r="W750" s="1477"/>
      <c r="X750" s="1477"/>
      <c r="Y750" s="1477"/>
      <c r="Z750" s="1477"/>
    </row>
    <row r="751" spans="1:26" x14ac:dyDescent="0.25">
      <c r="A751" s="932" t="s">
        <v>1404</v>
      </c>
      <c r="B751" s="906" t="str">
        <f ca="1">_xlfn.IFNA(_xlfn.CONCAT(SUBSTITUTE(ADDRESS(1,MATCH(A751,INDIRECT("'"&amp;E751&amp;"'"&amp;"!A" &amp; $O$736 + 5 &amp; ":Z" &amp; $O$736+ 5),0),4),1,""),$O$736 + 6),"")</f>
        <v>J141</v>
      </c>
      <c r="C751" s="906" t="str">
        <f t="shared" ca="1" si="105"/>
        <v>J</v>
      </c>
      <c r="D751" s="906" t="s">
        <v>1372</v>
      </c>
      <c r="E751" s="906" t="s">
        <v>1535</v>
      </c>
      <c r="F751" s="923"/>
      <c r="G751" s="1480"/>
      <c r="H751" s="1480"/>
      <c r="I751" s="1427" t="str">
        <f t="shared" si="97"/>
        <v/>
      </c>
      <c r="J751" s="1480"/>
      <c r="K751" s="1480" t="str">
        <f t="shared" si="98"/>
        <v/>
      </c>
      <c r="L751" s="906" t="s">
        <v>1404</v>
      </c>
      <c r="M751" s="1480">
        <v>734</v>
      </c>
      <c r="N751" s="1480"/>
      <c r="O751" s="1477"/>
      <c r="P751" s="1477"/>
      <c r="Q751" s="1477"/>
      <c r="R751" s="1480" t="s">
        <v>1544</v>
      </c>
      <c r="S751" s="1477"/>
      <c r="T751" s="1480" t="str">
        <f t="shared" si="101"/>
        <v/>
      </c>
      <c r="U751" s="1477"/>
      <c r="V751" s="1477"/>
      <c r="W751" s="1477"/>
      <c r="X751" s="1477"/>
      <c r="Y751" s="1477"/>
      <c r="Z751" s="1477"/>
    </row>
    <row r="752" spans="1:26" x14ac:dyDescent="0.25">
      <c r="A752" s="932" t="s">
        <v>1405</v>
      </c>
      <c r="B752" s="906" t="str">
        <f ca="1">_xlfn.IFNA(_xlfn.CONCAT(SUBSTITUTE(ADDRESS(1,MATCH(A752,INDIRECT("'"&amp;E752&amp;"'"&amp;"!A" &amp; $O$736 + 5 &amp; ":Z" &amp; $O$736+ 5),0),4),1,""),$O$736 + 6),"")</f>
        <v>L141</v>
      </c>
      <c r="C752" s="906" t="str">
        <f t="shared" ca="1" si="105"/>
        <v>L</v>
      </c>
      <c r="D752" s="906" t="s">
        <v>1372</v>
      </c>
      <c r="E752" s="906" t="s">
        <v>1535</v>
      </c>
      <c r="F752" s="1192"/>
      <c r="G752" s="1480"/>
      <c r="H752" s="1480"/>
      <c r="I752" s="1427" t="str">
        <f t="shared" si="97"/>
        <v/>
      </c>
      <c r="J752" s="1480"/>
      <c r="K752" s="1480" t="str">
        <f t="shared" si="98"/>
        <v/>
      </c>
      <c r="L752" s="906" t="s">
        <v>1405</v>
      </c>
      <c r="M752" s="1480">
        <v>735</v>
      </c>
      <c r="N752" s="1480"/>
      <c r="O752" s="1477"/>
      <c r="P752" s="1477"/>
      <c r="Q752" s="1477"/>
      <c r="R752" s="1480" t="s">
        <v>1544</v>
      </c>
      <c r="S752" s="1477"/>
      <c r="T752" s="1480" t="str">
        <f t="shared" si="101"/>
        <v/>
      </c>
      <c r="U752" s="1477"/>
      <c r="V752" s="1477"/>
      <c r="W752" s="1477"/>
      <c r="X752" s="1477"/>
      <c r="Y752" s="1477"/>
      <c r="Z752" s="1477"/>
    </row>
    <row r="753" spans="1:26" x14ac:dyDescent="0.25">
      <c r="A753" s="932" t="s">
        <v>1403</v>
      </c>
      <c r="B753" s="906" t="str">
        <f ca="1">_xlfn.IFNA(_xlfn.CONCAT(SUBSTITUTE(ADDRESS(1,MATCH(A753,INDIRECT("'"&amp;E753&amp;"'"&amp;"!A" &amp; $O$736 + 5 &amp; ":Z" &amp; $O$736+ 5),0),4),1,""),$O$736 + 7),"")</f>
        <v>H142</v>
      </c>
      <c r="C753" s="906" t="str">
        <f t="shared" ca="1" si="105"/>
        <v>H</v>
      </c>
      <c r="D753" s="906" t="s">
        <v>1372</v>
      </c>
      <c r="E753" s="906" t="s">
        <v>1535</v>
      </c>
      <c r="F753" s="1480"/>
      <c r="G753" s="1480"/>
      <c r="H753" s="1480"/>
      <c r="I753" s="1427" t="str">
        <f t="shared" si="97"/>
        <v/>
      </c>
      <c r="J753" s="1480" t="str">
        <f t="shared" si="102"/>
        <v/>
      </c>
      <c r="K753" s="1480" t="str">
        <f t="shared" si="98"/>
        <v/>
      </c>
      <c r="L753" s="906" t="s">
        <v>1403</v>
      </c>
      <c r="M753" s="1480">
        <v>736</v>
      </c>
      <c r="N753" s="1480"/>
      <c r="O753" s="1477"/>
      <c r="P753" s="1477"/>
      <c r="Q753" s="1477"/>
      <c r="R753" s="1480" t="s">
        <v>1544</v>
      </c>
      <c r="S753" s="1477"/>
      <c r="T753" s="1480" t="str">
        <f t="shared" si="101"/>
        <v/>
      </c>
      <c r="U753" s="1477"/>
      <c r="V753" s="1477"/>
      <c r="W753" s="1477"/>
      <c r="X753" s="1477"/>
      <c r="Y753" s="1477"/>
      <c r="Z753" s="1477"/>
    </row>
    <row r="754" spans="1:26" x14ac:dyDescent="0.25">
      <c r="A754" s="932" t="s">
        <v>1404</v>
      </c>
      <c r="B754" s="906" t="str">
        <f ca="1">_xlfn.IFNA(_xlfn.CONCAT(SUBSTITUTE(ADDRESS(1,MATCH(A754,INDIRECT("'"&amp;E754&amp;"'"&amp;"!A" &amp; $O$736 + 5 &amp; ":Z" &amp; $O$736+ 5),0),4),1,""),$O$736 + 7),"")</f>
        <v>J142</v>
      </c>
      <c r="C754" s="906" t="str">
        <f t="shared" ca="1" si="105"/>
        <v>J</v>
      </c>
      <c r="D754" s="906" t="s">
        <v>1372</v>
      </c>
      <c r="E754" s="906" t="s">
        <v>1535</v>
      </c>
      <c r="F754" s="1480"/>
      <c r="G754" s="1480"/>
      <c r="H754" s="1480"/>
      <c r="I754" s="1427" t="str">
        <f t="shared" si="97"/>
        <v/>
      </c>
      <c r="J754" s="1480"/>
      <c r="K754" s="1480" t="str">
        <f t="shared" si="98"/>
        <v/>
      </c>
      <c r="L754" s="906" t="s">
        <v>1404</v>
      </c>
      <c r="M754" s="1480">
        <v>737</v>
      </c>
      <c r="N754" s="1480"/>
      <c r="O754" s="1477"/>
      <c r="P754" s="1477"/>
      <c r="Q754" s="1477"/>
      <c r="R754" s="1480" t="s">
        <v>1544</v>
      </c>
      <c r="S754" s="1477"/>
      <c r="T754" s="1480" t="str">
        <f t="shared" si="101"/>
        <v/>
      </c>
      <c r="U754" s="1477"/>
      <c r="V754" s="1477"/>
      <c r="W754" s="1477"/>
      <c r="X754" s="1477"/>
      <c r="Y754" s="1477"/>
      <c r="Z754" s="1477"/>
    </row>
    <row r="755" spans="1:26" x14ac:dyDescent="0.25">
      <c r="A755" s="932" t="s">
        <v>1405</v>
      </c>
      <c r="B755" s="906" t="str">
        <f ca="1">_xlfn.IFNA(_xlfn.CONCAT(SUBSTITUTE(ADDRESS(1,MATCH(A755,INDIRECT("'"&amp;E755&amp;"'"&amp;"!A" &amp; $O$736 + 5 &amp; ":Z" &amp; $O$736+ 5),0),4),1,""),$O$736 + 7),"")</f>
        <v>L142</v>
      </c>
      <c r="C755" s="906" t="str">
        <f t="shared" ca="1" si="105"/>
        <v>L</v>
      </c>
      <c r="D755" s="906" t="s">
        <v>1372</v>
      </c>
      <c r="E755" s="906" t="s">
        <v>1535</v>
      </c>
      <c r="F755" s="1480"/>
      <c r="G755" s="1480"/>
      <c r="H755" s="1480"/>
      <c r="I755" s="1427" t="str">
        <f t="shared" si="97"/>
        <v/>
      </c>
      <c r="J755" s="1480"/>
      <c r="K755" s="1480" t="str">
        <f t="shared" si="98"/>
        <v/>
      </c>
      <c r="L755" s="906" t="s">
        <v>1405</v>
      </c>
      <c r="M755" s="1480">
        <v>738</v>
      </c>
      <c r="N755" s="1480"/>
      <c r="O755" s="1477"/>
      <c r="P755" s="1477"/>
      <c r="Q755" s="1477"/>
      <c r="R755" s="1480" t="s">
        <v>1544</v>
      </c>
      <c r="S755" s="1477"/>
      <c r="T755" s="1480" t="str">
        <f t="shared" si="101"/>
        <v/>
      </c>
      <c r="U755" s="1477"/>
      <c r="V755" s="1477"/>
      <c r="W755" s="1477"/>
      <c r="X755" s="1477"/>
      <c r="Y755" s="1477"/>
      <c r="Z755" s="1477"/>
    </row>
    <row r="756" spans="1:26" x14ac:dyDescent="0.25">
      <c r="A756" s="932" t="s">
        <v>1403</v>
      </c>
      <c r="B756" s="906" t="str">
        <f ca="1">_xlfn.IFNA(_xlfn.CONCAT(SUBSTITUTE(ADDRESS(1,MATCH(A756,INDIRECT("'"&amp;E756&amp;"'"&amp;"!A" &amp; $O$736 + 5 &amp; ":Z" &amp; $O$736+ 5),0),4),1,""),$O$736 + 8),"")</f>
        <v>H143</v>
      </c>
      <c r="C756" s="906" t="str">
        <f t="shared" ca="1" si="105"/>
        <v>H</v>
      </c>
      <c r="D756" s="906" t="s">
        <v>1372</v>
      </c>
      <c r="E756" s="906" t="s">
        <v>1535</v>
      </c>
      <c r="F756" s="1480"/>
      <c r="G756" s="1480"/>
      <c r="H756" s="1480"/>
      <c r="I756" s="1427" t="str">
        <f t="shared" si="97"/>
        <v/>
      </c>
      <c r="J756" s="1480" t="str">
        <f t="shared" si="102"/>
        <v/>
      </c>
      <c r="K756" s="1480" t="str">
        <f t="shared" si="98"/>
        <v/>
      </c>
      <c r="L756" s="906" t="s">
        <v>1403</v>
      </c>
      <c r="M756" s="1480">
        <v>739</v>
      </c>
      <c r="N756" s="1480"/>
      <c r="O756" s="1477"/>
      <c r="P756" s="1477"/>
      <c r="Q756" s="1477"/>
      <c r="R756" s="1480" t="s">
        <v>1544</v>
      </c>
      <c r="S756" s="1477"/>
      <c r="T756" s="1480" t="str">
        <f t="shared" si="101"/>
        <v/>
      </c>
      <c r="U756" s="1477"/>
      <c r="V756" s="1477"/>
      <c r="W756" s="1477"/>
      <c r="X756" s="1477"/>
      <c r="Y756" s="1477"/>
      <c r="Z756" s="1477"/>
    </row>
    <row r="757" spans="1:26" x14ac:dyDescent="0.25">
      <c r="A757" s="932" t="s">
        <v>1404</v>
      </c>
      <c r="B757" s="906" t="str">
        <f ca="1">_xlfn.IFNA(_xlfn.CONCAT(SUBSTITUTE(ADDRESS(1,MATCH(A757,INDIRECT("'"&amp;E757&amp;"'"&amp;"!A" &amp; $O$736 + 5 &amp; ":Z" &amp; $O$736+ 5),0),4),1,""),$O$736 + 8),"")</f>
        <v>J143</v>
      </c>
      <c r="C757" s="906" t="str">
        <f t="shared" ca="1" si="105"/>
        <v>J</v>
      </c>
      <c r="D757" s="906" t="s">
        <v>1372</v>
      </c>
      <c r="E757" s="906" t="s">
        <v>1535</v>
      </c>
      <c r="F757" s="1480"/>
      <c r="G757" s="1480"/>
      <c r="H757" s="1480"/>
      <c r="I757" s="1427" t="str">
        <f t="shared" si="97"/>
        <v/>
      </c>
      <c r="J757" s="1480"/>
      <c r="K757" s="1480" t="str">
        <f t="shared" si="98"/>
        <v/>
      </c>
      <c r="L757" s="906" t="s">
        <v>1404</v>
      </c>
      <c r="M757" s="1480">
        <v>740</v>
      </c>
      <c r="N757" s="1480"/>
      <c r="O757" s="1477"/>
      <c r="P757" s="1477"/>
      <c r="Q757" s="1477"/>
      <c r="R757" s="1480" t="s">
        <v>1544</v>
      </c>
      <c r="S757" s="1477"/>
      <c r="T757" s="1480" t="str">
        <f t="shared" si="101"/>
        <v/>
      </c>
      <c r="U757" s="1477"/>
      <c r="V757" s="1477"/>
      <c r="W757" s="1477"/>
      <c r="X757" s="1477"/>
      <c r="Y757" s="1477"/>
      <c r="Z757" s="1477"/>
    </row>
    <row r="758" spans="1:26" x14ac:dyDescent="0.25">
      <c r="A758" s="932" t="s">
        <v>1405</v>
      </c>
      <c r="B758" s="906" t="str">
        <f ca="1">_xlfn.IFNA(_xlfn.CONCAT(SUBSTITUTE(ADDRESS(1,MATCH(A758,INDIRECT("'"&amp;E758&amp;"'"&amp;"!A" &amp; $O$736 + 5 &amp; ":Z" &amp; $O$736+ 5),0),4),1,""),$O$736 + 8),"")</f>
        <v>L143</v>
      </c>
      <c r="C758" s="906" t="str">
        <f t="shared" ca="1" si="105"/>
        <v>L</v>
      </c>
      <c r="D758" s="906" t="s">
        <v>1372</v>
      </c>
      <c r="E758" s="906" t="s">
        <v>1535</v>
      </c>
      <c r="F758" s="1480"/>
      <c r="G758" s="1480"/>
      <c r="H758" s="1480"/>
      <c r="I758" s="1427" t="str">
        <f t="shared" si="97"/>
        <v/>
      </c>
      <c r="J758" s="1480"/>
      <c r="K758" s="1480" t="str">
        <f t="shared" si="98"/>
        <v/>
      </c>
      <c r="L758" s="906" t="s">
        <v>1405</v>
      </c>
      <c r="M758" s="1480">
        <v>741</v>
      </c>
      <c r="N758" s="1480"/>
      <c r="O758" s="1477"/>
      <c r="P758" s="1477"/>
      <c r="Q758" s="1477"/>
      <c r="R758" s="1480" t="s">
        <v>1544</v>
      </c>
      <c r="S758" s="1477"/>
      <c r="T758" s="1480" t="str">
        <f t="shared" si="101"/>
        <v/>
      </c>
      <c r="U758" s="1477"/>
      <c r="V758" s="1477"/>
      <c r="W758" s="1477"/>
      <c r="X758" s="1477"/>
      <c r="Y758" s="1477"/>
      <c r="Z758" s="1477"/>
    </row>
    <row r="759" spans="1:26" x14ac:dyDescent="0.25">
      <c r="A759" s="932" t="s">
        <v>1403</v>
      </c>
      <c r="B759" s="906" t="str">
        <f ca="1">_xlfn.IFNA(_xlfn.CONCAT(SUBSTITUTE(ADDRESS(1,MATCH(A759,INDIRECT("'"&amp;E759&amp;"'"&amp;"!A" &amp; $O$736 + 5 &amp; ":Z" &amp; $O$736+ 5),0),4),1,""),$O$736 + 9),"")</f>
        <v>H144</v>
      </c>
      <c r="C759" s="906" t="str">
        <f t="shared" ca="1" si="105"/>
        <v>H</v>
      </c>
      <c r="D759" s="906" t="s">
        <v>1372</v>
      </c>
      <c r="E759" s="906" t="s">
        <v>1535</v>
      </c>
      <c r="F759" s="1480"/>
      <c r="G759" s="1480"/>
      <c r="H759" s="1480"/>
      <c r="I759" s="1427" t="str">
        <f t="shared" si="97"/>
        <v/>
      </c>
      <c r="J759" s="1480" t="str">
        <f t="shared" si="102"/>
        <v/>
      </c>
      <c r="K759" s="1480" t="str">
        <f t="shared" si="98"/>
        <v/>
      </c>
      <c r="L759" s="906" t="s">
        <v>1403</v>
      </c>
      <c r="M759" s="1480">
        <v>742</v>
      </c>
      <c r="N759" s="1480"/>
      <c r="O759" s="1477"/>
      <c r="P759" s="1477"/>
      <c r="Q759" s="1477"/>
      <c r="R759" s="1480" t="s">
        <v>1544</v>
      </c>
      <c r="S759" s="1477"/>
      <c r="T759" s="1480" t="str">
        <f t="shared" si="101"/>
        <v/>
      </c>
      <c r="U759" s="1477"/>
      <c r="V759" s="1477"/>
      <c r="W759" s="1477"/>
      <c r="X759" s="1477"/>
      <c r="Y759" s="1477"/>
      <c r="Z759" s="1477"/>
    </row>
    <row r="760" spans="1:26" x14ac:dyDescent="0.25">
      <c r="A760" s="932" t="s">
        <v>1404</v>
      </c>
      <c r="B760" s="906" t="str">
        <f ca="1">_xlfn.IFNA(_xlfn.CONCAT(SUBSTITUTE(ADDRESS(1,MATCH(A760,INDIRECT("'"&amp;E760&amp;"'"&amp;"!A" &amp; $O$736 + 5 &amp; ":Z" &amp; $O$736+ 5),0),4),1,""),$O$736 + 9),"")</f>
        <v>J144</v>
      </c>
      <c r="C760" s="906" t="str">
        <f t="shared" ca="1" si="105"/>
        <v>J</v>
      </c>
      <c r="D760" s="906" t="s">
        <v>1372</v>
      </c>
      <c r="E760" s="906" t="s">
        <v>1535</v>
      </c>
      <c r="F760" s="1480"/>
      <c r="G760" s="1480"/>
      <c r="H760" s="1480"/>
      <c r="I760" s="1427" t="str">
        <f t="shared" si="97"/>
        <v/>
      </c>
      <c r="J760" s="1480"/>
      <c r="K760" s="1480" t="str">
        <f t="shared" si="98"/>
        <v/>
      </c>
      <c r="L760" s="906" t="s">
        <v>1404</v>
      </c>
      <c r="M760" s="1480">
        <v>743</v>
      </c>
      <c r="N760" s="1480"/>
      <c r="O760" s="1477"/>
      <c r="P760" s="1477"/>
      <c r="Q760" s="1477"/>
      <c r="R760" s="1480" t="s">
        <v>1544</v>
      </c>
      <c r="S760" s="1477"/>
      <c r="T760" s="1480" t="str">
        <f t="shared" si="101"/>
        <v/>
      </c>
      <c r="U760" s="1477"/>
      <c r="V760" s="1477"/>
      <c r="W760" s="1477"/>
      <c r="X760" s="1477"/>
      <c r="Y760" s="1477"/>
      <c r="Z760" s="1477"/>
    </row>
    <row r="761" spans="1:26" x14ac:dyDescent="0.25">
      <c r="A761" s="932" t="s">
        <v>1405</v>
      </c>
      <c r="B761" s="906" t="str">
        <f ca="1">_xlfn.IFNA(_xlfn.CONCAT(SUBSTITUTE(ADDRESS(1,MATCH(A761,INDIRECT("'"&amp;E761&amp;"'"&amp;"!A" &amp; $O$736 + 5 &amp; ":Z" &amp; $O$736+ 5),0),4),1,""),$O$736 + 9),"")</f>
        <v>L144</v>
      </c>
      <c r="C761" s="906" t="str">
        <f t="shared" ca="1" si="105"/>
        <v>L</v>
      </c>
      <c r="D761" s="906" t="s">
        <v>1372</v>
      </c>
      <c r="E761" s="906" t="s">
        <v>1535</v>
      </c>
      <c r="F761" s="1480"/>
      <c r="G761" s="1480"/>
      <c r="H761" s="1480"/>
      <c r="I761" s="1427" t="str">
        <f t="shared" si="97"/>
        <v/>
      </c>
      <c r="J761" s="1480"/>
      <c r="K761" s="1480" t="str">
        <f t="shared" si="98"/>
        <v/>
      </c>
      <c r="L761" s="906" t="s">
        <v>1405</v>
      </c>
      <c r="M761" s="1480">
        <v>744</v>
      </c>
      <c r="N761" s="1480"/>
      <c r="O761" s="1477"/>
      <c r="P761" s="1477"/>
      <c r="Q761" s="1477"/>
      <c r="R761" s="1480" t="s">
        <v>1544</v>
      </c>
      <c r="S761" s="1477"/>
      <c r="T761" s="1480" t="str">
        <f t="shared" si="101"/>
        <v/>
      </c>
      <c r="U761" s="1477"/>
      <c r="V761" s="1477"/>
      <c r="W761" s="1477"/>
      <c r="X761" s="1477"/>
      <c r="Y761" s="1477"/>
      <c r="Z761" s="1477"/>
    </row>
    <row r="762" spans="1:26" x14ac:dyDescent="0.25">
      <c r="A762" s="932" t="s">
        <v>1403</v>
      </c>
      <c r="B762" s="906" t="str">
        <f ca="1">_xlfn.IFNA(_xlfn.CONCAT(SUBSTITUTE(ADDRESS(1,MATCH(A762,INDIRECT("'"&amp;E762&amp;"'"&amp;"!A" &amp; $O$736 + 5 &amp; ":Z" &amp; $O$736+ 5),0),4),1,""),$O$736 + 10),"")</f>
        <v>H145</v>
      </c>
      <c r="C762" s="906" t="str">
        <f t="shared" ca="1" si="105"/>
        <v>H</v>
      </c>
      <c r="D762" s="906" t="s">
        <v>1372</v>
      </c>
      <c r="E762" s="906" t="s">
        <v>1535</v>
      </c>
      <c r="F762" s="1480"/>
      <c r="G762" s="1480"/>
      <c r="H762" s="1480"/>
      <c r="I762" s="1427" t="str">
        <f t="shared" si="97"/>
        <v/>
      </c>
      <c r="J762" s="1480" t="str">
        <f t="shared" si="102"/>
        <v/>
      </c>
      <c r="K762" s="1480" t="str">
        <f t="shared" si="98"/>
        <v/>
      </c>
      <c r="L762" s="906" t="s">
        <v>1403</v>
      </c>
      <c r="M762" s="1480">
        <v>745</v>
      </c>
      <c r="N762" s="1480"/>
      <c r="O762" s="1477"/>
      <c r="P762" s="1477"/>
      <c r="Q762" s="1477"/>
      <c r="R762" s="1480" t="s">
        <v>1544</v>
      </c>
      <c r="S762" s="1477"/>
      <c r="T762" s="1480" t="str">
        <f t="shared" si="101"/>
        <v/>
      </c>
      <c r="U762" s="1477"/>
      <c r="V762" s="1477"/>
      <c r="W762" s="1477"/>
      <c r="X762" s="1477"/>
      <c r="Y762" s="1477"/>
      <c r="Z762" s="1477"/>
    </row>
    <row r="763" spans="1:26" x14ac:dyDescent="0.25">
      <c r="A763" s="932" t="s">
        <v>1404</v>
      </c>
      <c r="B763" s="906" t="str">
        <f ca="1">_xlfn.IFNA(_xlfn.CONCAT(SUBSTITUTE(ADDRESS(1,MATCH(A763,INDIRECT("'"&amp;E763&amp;"'"&amp;"!A" &amp; $O$736 + 5 &amp; ":Z" &amp; $O$736+ 5),0),4),1,""),$O$736 + 10),"")</f>
        <v>J145</v>
      </c>
      <c r="C763" s="906" t="str">
        <f t="shared" ca="1" si="105"/>
        <v>J</v>
      </c>
      <c r="D763" s="906" t="s">
        <v>1372</v>
      </c>
      <c r="E763" s="906" t="s">
        <v>1535</v>
      </c>
      <c r="F763" s="1480"/>
      <c r="G763" s="1480"/>
      <c r="H763" s="1480"/>
      <c r="I763" s="1427" t="str">
        <f t="shared" si="97"/>
        <v/>
      </c>
      <c r="J763" s="1480"/>
      <c r="K763" s="1480" t="str">
        <f t="shared" si="98"/>
        <v/>
      </c>
      <c r="L763" s="906" t="s">
        <v>1404</v>
      </c>
      <c r="M763" s="1480">
        <v>746</v>
      </c>
      <c r="N763" s="1480"/>
      <c r="O763" s="1477"/>
      <c r="P763" s="1477"/>
      <c r="Q763" s="1477"/>
      <c r="R763" s="1480" t="s">
        <v>1544</v>
      </c>
      <c r="S763" s="1477"/>
      <c r="T763" s="1480" t="str">
        <f t="shared" si="101"/>
        <v/>
      </c>
      <c r="U763" s="1477"/>
      <c r="V763" s="1477"/>
      <c r="W763" s="1477"/>
      <c r="X763" s="1477"/>
      <c r="Y763" s="1477"/>
      <c r="Z763" s="1477"/>
    </row>
    <row r="764" spans="1:26" x14ac:dyDescent="0.25">
      <c r="A764" s="932" t="s">
        <v>1405</v>
      </c>
      <c r="B764" s="906" t="str">
        <f ca="1">_xlfn.IFNA(_xlfn.CONCAT(SUBSTITUTE(ADDRESS(1,MATCH(A764,INDIRECT("'"&amp;E764&amp;"'"&amp;"!A" &amp; $O$736 + 5 &amp; ":Z" &amp; $O$736+ 5),0),4),1,""),$O$736 + 10),"")</f>
        <v>L145</v>
      </c>
      <c r="C764" s="906" t="str">
        <f t="shared" ca="1" si="105"/>
        <v>L</v>
      </c>
      <c r="D764" s="906" t="s">
        <v>1372</v>
      </c>
      <c r="E764" s="906" t="s">
        <v>1535</v>
      </c>
      <c r="F764" s="1480"/>
      <c r="G764" s="1480"/>
      <c r="H764" s="1480"/>
      <c r="I764" s="1427" t="str">
        <f t="shared" si="97"/>
        <v/>
      </c>
      <c r="J764" s="1480"/>
      <c r="K764" s="1480" t="str">
        <f t="shared" si="98"/>
        <v/>
      </c>
      <c r="L764" s="906" t="s">
        <v>1405</v>
      </c>
      <c r="M764" s="1480">
        <v>747</v>
      </c>
      <c r="N764" s="1480"/>
      <c r="O764" s="1477"/>
      <c r="P764" s="1477"/>
      <c r="Q764" s="1477"/>
      <c r="R764" s="1480" t="s">
        <v>1544</v>
      </c>
      <c r="S764" s="1477"/>
      <c r="T764" s="1480" t="str">
        <f t="shared" si="101"/>
        <v/>
      </c>
      <c r="U764" s="1477"/>
      <c r="V764" s="1477"/>
      <c r="W764" s="1477"/>
      <c r="X764" s="1477"/>
      <c r="Y764" s="1477"/>
      <c r="Z764" s="1477"/>
    </row>
    <row r="765" spans="1:26"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80" t="s">
        <v>1510</v>
      </c>
      <c r="G765" s="1480" t="str">
        <f>IF(T765&lt;&gt;"","A","")</f>
        <v/>
      </c>
      <c r="H765" s="1480" t="s">
        <v>2063</v>
      </c>
      <c r="I765" s="1427" t="str">
        <f t="shared" si="97"/>
        <v/>
      </c>
      <c r="J765" s="1480"/>
      <c r="K765" s="1480" t="str">
        <f t="shared" si="98"/>
        <v/>
      </c>
      <c r="L765" s="906" t="s">
        <v>1510</v>
      </c>
      <c r="M765" s="1480">
        <v>748</v>
      </c>
      <c r="N765" s="1480"/>
      <c r="O765" s="1477" t="s">
        <v>728</v>
      </c>
      <c r="P765" s="1477"/>
      <c r="Q765" s="1477"/>
      <c r="R765" s="1480" t="s">
        <v>1550</v>
      </c>
      <c r="S765" s="1477"/>
      <c r="T765" s="1480" t="str">
        <f t="shared" ref="T765:T778" si="106">IF(Q$766="Yes",11,"")</f>
        <v/>
      </c>
      <c r="U765" s="1477"/>
      <c r="V765" s="1477"/>
      <c r="W765" s="1477"/>
      <c r="X765" s="1477"/>
      <c r="Y765" s="1477"/>
      <c r="Z765" s="1477"/>
    </row>
    <row r="766" spans="1:26"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80"/>
      <c r="G766" s="1480"/>
      <c r="H766" s="1480"/>
      <c r="I766" s="1427" t="str">
        <f t="shared" si="97"/>
        <v/>
      </c>
      <c r="J766" s="1480" t="str">
        <f t="shared" ref="J766:J778" si="107">IF(M766&lt;&gt;"",IF($Q$766="Yes",Q$1&amp;M766,""))</f>
        <v/>
      </c>
      <c r="K766" s="1480" t="str">
        <f t="shared" si="98"/>
        <v/>
      </c>
      <c r="L766" s="906" t="s">
        <v>1724</v>
      </c>
      <c r="M766" s="1480">
        <v>749</v>
      </c>
      <c r="N766" s="1480"/>
      <c r="O766" s="1477">
        <f>'Configurable Tab'!H13</f>
        <v>151</v>
      </c>
      <c r="P766" s="1477"/>
      <c r="Q766" s="1477" t="s">
        <v>651</v>
      </c>
      <c r="R766" s="1480" t="s">
        <v>1550</v>
      </c>
      <c r="S766" s="1477"/>
      <c r="T766" s="1480" t="str">
        <f t="shared" si="106"/>
        <v/>
      </c>
      <c r="U766" s="1477"/>
      <c r="V766" s="1477"/>
      <c r="W766" s="1477"/>
      <c r="X766" s="1477"/>
      <c r="Y766" s="1477"/>
      <c r="Z766" s="1477"/>
    </row>
    <row r="767" spans="1:26"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80" t="s">
        <v>1399</v>
      </c>
      <c r="G767" s="1480" t="str">
        <f>IF(T767&lt;&gt;"","B","")</f>
        <v/>
      </c>
      <c r="H767" s="1480" t="s">
        <v>2063</v>
      </c>
      <c r="I767" s="1427" t="str">
        <f t="shared" si="97"/>
        <v/>
      </c>
      <c r="J767" s="1480"/>
      <c r="K767" s="1480" t="str">
        <f t="shared" si="98"/>
        <v/>
      </c>
      <c r="L767" s="906" t="s">
        <v>1399</v>
      </c>
      <c r="M767" s="1480">
        <v>750</v>
      </c>
      <c r="N767" s="1480"/>
      <c r="O767" s="1477" t="s">
        <v>729</v>
      </c>
      <c r="P767" s="1477"/>
      <c r="Q767" s="1477"/>
      <c r="R767" s="1480" t="s">
        <v>1550</v>
      </c>
      <c r="S767" s="1477"/>
      <c r="T767" s="1480" t="str">
        <f t="shared" si="106"/>
        <v/>
      </c>
      <c r="U767" s="1477"/>
      <c r="V767" s="1477"/>
      <c r="W767" s="1477"/>
      <c r="X767" s="1477"/>
      <c r="Y767" s="1477"/>
      <c r="Z767" s="1477"/>
    </row>
    <row r="768" spans="1:26" x14ac:dyDescent="0.25">
      <c r="A768" s="929" t="s">
        <v>1396</v>
      </c>
      <c r="B768" s="906" t="str">
        <f t="shared" ref="B768:B774" ca="1" si="108">_xlfn.CONCAT(IFERROR(SUBSTITUTE(ADDRESS(1,MATCH(A768,INDIRECT("'"&amp;E768&amp;"'"&amp;"!A" &amp; $O$766 + 2 &amp; ":Z" &amp; $O$766+ 2),0),4),1,""),""),$O$766 + 2)</f>
        <v>H153</v>
      </c>
      <c r="C768" s="906" t="str">
        <f t="shared" ref="C768:C774" ca="1" si="109">_xlfn.CONCAT(IFERROR(SUBSTITUTE(ADDRESS(1,MATCH(A768,INDIRECT("'"&amp;E768&amp;"'"&amp;"!A" &amp; $O$766 + 2 &amp; ":Z" &amp; $O$766+ 2),0),4),1,""),""),$O$766 + 3)</f>
        <v>H154</v>
      </c>
      <c r="D768" s="906" t="s">
        <v>1365</v>
      </c>
      <c r="E768" s="906" t="s">
        <v>1535</v>
      </c>
      <c r="F768" s="1480" t="s">
        <v>2064</v>
      </c>
      <c r="G768" s="1480" t="str">
        <f>IF(T768&lt;&gt;"","E","")</f>
        <v/>
      </c>
      <c r="H768" s="1480" t="s">
        <v>2063</v>
      </c>
      <c r="I768" s="1427" t="str">
        <f t="shared" si="97"/>
        <v/>
      </c>
      <c r="J768" s="1480" t="str">
        <f t="shared" si="107"/>
        <v/>
      </c>
      <c r="K768" s="1480" t="str">
        <f t="shared" si="98"/>
        <v/>
      </c>
      <c r="L768" s="906" t="s">
        <v>1396</v>
      </c>
      <c r="M768" s="1480">
        <v>751</v>
      </c>
      <c r="N768" s="1480"/>
      <c r="O768" s="1477">
        <f>'Configurable Tab'!I13</f>
        <v>164</v>
      </c>
      <c r="P768" s="1477"/>
      <c r="Q768" s="1477"/>
      <c r="R768" s="1480" t="s">
        <v>1550</v>
      </c>
      <c r="S768" s="1477"/>
      <c r="T768" s="1480" t="str">
        <f t="shared" si="106"/>
        <v/>
      </c>
      <c r="U768" s="1477"/>
      <c r="V768" s="1477"/>
      <c r="W768" s="1477"/>
      <c r="X768" s="1477"/>
      <c r="Y768" s="1477"/>
      <c r="Z768" s="1477"/>
    </row>
    <row r="769" spans="1:26" x14ac:dyDescent="0.25">
      <c r="A769" s="929" t="s">
        <v>1397</v>
      </c>
      <c r="B769" s="906" t="str">
        <f t="shared" ca="1" si="108"/>
        <v>J153</v>
      </c>
      <c r="C769" s="906" t="str">
        <f t="shared" ca="1" si="109"/>
        <v>J154</v>
      </c>
      <c r="D769" s="906" t="s">
        <v>1365</v>
      </c>
      <c r="E769" s="906" t="s">
        <v>1535</v>
      </c>
      <c r="F769" s="1480" t="s">
        <v>2065</v>
      </c>
      <c r="G769" s="1480" t="str">
        <f>IF(T769&lt;&gt;"","I","")</f>
        <v/>
      </c>
      <c r="H769" s="1480" t="s">
        <v>2063</v>
      </c>
      <c r="I769" s="1427" t="str">
        <f t="shared" si="97"/>
        <v/>
      </c>
      <c r="J769" s="1480" t="str">
        <f t="shared" si="107"/>
        <v/>
      </c>
      <c r="K769" s="1480" t="str">
        <f t="shared" si="98"/>
        <v/>
      </c>
      <c r="L769" s="906" t="s">
        <v>1397</v>
      </c>
      <c r="M769" s="1480">
        <v>752</v>
      </c>
      <c r="N769" s="1480"/>
      <c r="O769" s="1477" t="s">
        <v>1661</v>
      </c>
      <c r="P769" s="1477"/>
      <c r="Q769" s="1477"/>
      <c r="R769" s="1480" t="s">
        <v>1550</v>
      </c>
      <c r="S769" s="1477"/>
      <c r="T769" s="1480" t="str">
        <f t="shared" si="106"/>
        <v/>
      </c>
      <c r="U769" s="1477"/>
      <c r="V769" s="1477"/>
      <c r="W769" s="1477"/>
      <c r="X769" s="1477"/>
      <c r="Y769" s="1477"/>
      <c r="Z769" s="1477"/>
    </row>
    <row r="770" spans="1:26" x14ac:dyDescent="0.25">
      <c r="A770" s="929" t="s">
        <v>1413</v>
      </c>
      <c r="B770" s="906" t="str">
        <f t="shared" ca="1" si="108"/>
        <v>L153</v>
      </c>
      <c r="C770" s="906" t="str">
        <f t="shared" ca="1" si="109"/>
        <v>L154</v>
      </c>
      <c r="D770" s="906" t="s">
        <v>1365</v>
      </c>
      <c r="E770" s="906" t="s">
        <v>1535</v>
      </c>
      <c r="F770" s="1480" t="s">
        <v>2066</v>
      </c>
      <c r="G770" s="1480" t="str">
        <f>IF(T770&lt;&gt;"","H","")</f>
        <v/>
      </c>
      <c r="H770" s="1480" t="s">
        <v>2063</v>
      </c>
      <c r="I770" s="1427" t="str">
        <f t="shared" si="97"/>
        <v/>
      </c>
      <c r="J770" s="1480" t="str">
        <f t="shared" si="107"/>
        <v/>
      </c>
      <c r="K770" s="1480" t="str">
        <f t="shared" si="98"/>
        <v/>
      </c>
      <c r="L770" s="906" t="s">
        <v>1413</v>
      </c>
      <c r="M770" s="1480">
        <v>753</v>
      </c>
      <c r="N770" s="1480"/>
      <c r="O770" s="1477"/>
      <c r="P770" s="1477"/>
      <c r="Q770" s="1477"/>
      <c r="R770" s="1480" t="s">
        <v>1550</v>
      </c>
      <c r="S770" s="1477"/>
      <c r="T770" s="1480" t="str">
        <f t="shared" si="106"/>
        <v/>
      </c>
      <c r="U770" s="1477"/>
      <c r="V770" s="1477"/>
      <c r="W770" s="1477"/>
      <c r="X770" s="1477"/>
      <c r="Y770" s="1477"/>
      <c r="Z770" s="1477"/>
    </row>
    <row r="771" spans="1:26" x14ac:dyDescent="0.25">
      <c r="A771" s="929" t="s">
        <v>1398</v>
      </c>
      <c r="B771" s="906" t="str">
        <f t="shared" ca="1" si="108"/>
        <v>N153</v>
      </c>
      <c r="C771" s="906" t="str">
        <f t="shared" ca="1" si="109"/>
        <v>N154</v>
      </c>
      <c r="D771" s="906" t="s">
        <v>1365</v>
      </c>
      <c r="E771" s="906" t="s">
        <v>1535</v>
      </c>
      <c r="F771" s="1480" t="s">
        <v>1398</v>
      </c>
      <c r="G771" s="1480" t="str">
        <f>IF(T771&lt;&gt;"",IF(Q769="Credit Memo","J",IF(Q769="Check","K","")),"")</f>
        <v/>
      </c>
      <c r="H771" s="1480" t="s">
        <v>2063</v>
      </c>
      <c r="I771" s="1427" t="str">
        <f t="shared" si="97"/>
        <v/>
      </c>
      <c r="J771" s="1480" t="str">
        <f t="shared" si="107"/>
        <v/>
      </c>
      <c r="K771" s="1480" t="str">
        <f t="shared" si="98"/>
        <v/>
      </c>
      <c r="L771" s="906" t="s">
        <v>1398</v>
      </c>
      <c r="M771" s="1480">
        <v>754</v>
      </c>
      <c r="N771" s="1480"/>
      <c r="O771" s="1477"/>
      <c r="P771" s="1477"/>
      <c r="Q771" s="1477"/>
      <c r="R771" s="1480" t="s">
        <v>1550</v>
      </c>
      <c r="S771" s="1477"/>
      <c r="T771" s="1480" t="str">
        <f t="shared" si="106"/>
        <v/>
      </c>
      <c r="U771" s="1477"/>
      <c r="V771" s="1477"/>
      <c r="W771" s="1477"/>
      <c r="X771" s="1477"/>
      <c r="Y771" s="1477"/>
      <c r="Z771" s="1477"/>
    </row>
    <row r="772" spans="1:26" x14ac:dyDescent="0.25">
      <c r="A772" s="929" t="s">
        <v>1505</v>
      </c>
      <c r="B772" s="906" t="str">
        <f t="shared" ca="1" si="108"/>
        <v>P153</v>
      </c>
      <c r="C772" s="906" t="str">
        <f t="shared" ca="1" si="109"/>
        <v>P154</v>
      </c>
      <c r="D772" s="906" t="s">
        <v>1365</v>
      </c>
      <c r="E772" s="906" t="s">
        <v>1535</v>
      </c>
      <c r="F772" s="1480" t="s">
        <v>2067</v>
      </c>
      <c r="G772" s="1480" t="str">
        <f>IF(T772&lt;&gt;"","F","")</f>
        <v/>
      </c>
      <c r="H772" s="1480" t="s">
        <v>2063</v>
      </c>
      <c r="I772" s="1427" t="str">
        <f t="shared" ref="I772:I835" si="110">IF(J772&lt;&gt;"",A772,"")</f>
        <v/>
      </c>
      <c r="J772" s="1480" t="str">
        <f t="shared" si="107"/>
        <v/>
      </c>
      <c r="K772" s="1480" t="str">
        <f t="shared" ref="K772:K835" si="111">IF(J772&lt;&gt;"",E772,"")</f>
        <v/>
      </c>
      <c r="L772" s="906" t="s">
        <v>1505</v>
      </c>
      <c r="M772" s="1480">
        <v>755</v>
      </c>
      <c r="N772" s="1480"/>
      <c r="O772" s="1477"/>
      <c r="P772" s="1477"/>
      <c r="Q772" s="1477"/>
      <c r="R772" s="1480" t="s">
        <v>1550</v>
      </c>
      <c r="S772" s="1477"/>
      <c r="T772" s="1480" t="str">
        <f t="shared" si="106"/>
        <v/>
      </c>
      <c r="U772" s="1477"/>
      <c r="V772" s="1477"/>
      <c r="W772" s="1477"/>
      <c r="X772" s="1477"/>
      <c r="Y772" s="1477"/>
      <c r="Z772" s="1477"/>
    </row>
    <row r="773" spans="1:26" x14ac:dyDescent="0.25">
      <c r="A773" s="929" t="s">
        <v>1506</v>
      </c>
      <c r="B773" s="906" t="str">
        <f t="shared" ca="1" si="108"/>
        <v>R153</v>
      </c>
      <c r="C773" s="906" t="str">
        <f t="shared" ca="1" si="109"/>
        <v>R154</v>
      </c>
      <c r="D773" s="906" t="s">
        <v>1365</v>
      </c>
      <c r="E773" s="906" t="s">
        <v>1535</v>
      </c>
      <c r="F773" s="1480" t="s">
        <v>2068</v>
      </c>
      <c r="G773" s="1480" t="str">
        <f>IF(T773&lt;&gt;"","G","")</f>
        <v/>
      </c>
      <c r="H773" s="1480" t="s">
        <v>2063</v>
      </c>
      <c r="I773" s="1427" t="str">
        <f t="shared" si="110"/>
        <v/>
      </c>
      <c r="J773" s="1480" t="str">
        <f t="shared" si="107"/>
        <v/>
      </c>
      <c r="K773" s="1480" t="str">
        <f t="shared" si="111"/>
        <v/>
      </c>
      <c r="L773" s="906" t="s">
        <v>1506</v>
      </c>
      <c r="M773" s="1480">
        <v>756</v>
      </c>
      <c r="N773" s="1480"/>
      <c r="O773" s="1477"/>
      <c r="P773" s="1477"/>
      <c r="Q773" s="1477"/>
      <c r="R773" s="1480" t="s">
        <v>1550</v>
      </c>
      <c r="S773" s="1477"/>
      <c r="T773" s="1480" t="str">
        <f t="shared" si="106"/>
        <v/>
      </c>
      <c r="U773" s="1477"/>
      <c r="V773" s="1477"/>
      <c r="W773" s="1477"/>
      <c r="X773" s="1477"/>
      <c r="Y773" s="1477"/>
      <c r="Z773" s="1477"/>
    </row>
    <row r="774" spans="1:26" x14ac:dyDescent="0.25">
      <c r="A774" s="929" t="s">
        <v>1507</v>
      </c>
      <c r="B774" s="906" t="str">
        <f t="shared" ca="1" si="108"/>
        <v>T153</v>
      </c>
      <c r="C774" s="906" t="str">
        <f t="shared" ca="1" si="109"/>
        <v>T154</v>
      </c>
      <c r="D774" s="906" t="s">
        <v>1365</v>
      </c>
      <c r="E774" s="906" t="s">
        <v>1535</v>
      </c>
      <c r="F774" s="923" t="s">
        <v>1507</v>
      </c>
      <c r="G774" s="1480" t="str">
        <f>IF(T774&lt;&gt;"","AW","")</f>
        <v/>
      </c>
      <c r="H774" s="1480" t="s">
        <v>2063</v>
      </c>
      <c r="I774" s="1427" t="str">
        <f t="shared" si="110"/>
        <v/>
      </c>
      <c r="J774" s="1480" t="str">
        <f t="shared" si="107"/>
        <v/>
      </c>
      <c r="K774" s="1480" t="str">
        <f t="shared" si="111"/>
        <v/>
      </c>
      <c r="L774" s="906" t="s">
        <v>1507</v>
      </c>
      <c r="M774" s="1480">
        <v>757</v>
      </c>
      <c r="N774" s="1480"/>
      <c r="O774" s="1477"/>
      <c r="P774" s="1477"/>
      <c r="Q774" s="1477"/>
      <c r="R774" s="1480" t="s">
        <v>1550</v>
      </c>
      <c r="S774" s="1477"/>
      <c r="T774" s="1480" t="str">
        <f t="shared" si="106"/>
        <v/>
      </c>
      <c r="U774" s="1477"/>
      <c r="V774" s="1477"/>
      <c r="W774" s="1477"/>
      <c r="X774" s="1477"/>
      <c r="Y774" s="1477"/>
      <c r="Z774" s="1477"/>
    </row>
    <row r="775" spans="1:26"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80" t="s">
        <v>1401</v>
      </c>
      <c r="G775" s="1480" t="str">
        <f>IF(T775&lt;&gt;"","C","")</f>
        <v/>
      </c>
      <c r="H775" s="1480" t="s">
        <v>2063</v>
      </c>
      <c r="I775" s="1427" t="str">
        <f t="shared" si="110"/>
        <v/>
      </c>
      <c r="J775" s="1480"/>
      <c r="K775" s="1480" t="str">
        <f t="shared" si="111"/>
        <v/>
      </c>
      <c r="L775" s="906" t="s">
        <v>1401</v>
      </c>
      <c r="M775" s="1480">
        <v>758</v>
      </c>
      <c r="N775" s="1480"/>
      <c r="O775" s="1477"/>
      <c r="P775" s="1477"/>
      <c r="Q775" s="1477"/>
      <c r="R775" s="1480" t="s">
        <v>1550</v>
      </c>
      <c r="S775" s="1477"/>
      <c r="T775" s="1480" t="str">
        <f t="shared" si="106"/>
        <v/>
      </c>
      <c r="U775" s="1477"/>
      <c r="V775" s="1477"/>
      <c r="W775" s="1477"/>
      <c r="X775" s="1477"/>
      <c r="Y775" s="1477"/>
      <c r="Z775" s="1477"/>
    </row>
    <row r="776" spans="1:26"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80" t="s">
        <v>1402</v>
      </c>
      <c r="G776" s="1480" t="str">
        <f>IF(T776&lt;&gt;"","D","")</f>
        <v/>
      </c>
      <c r="H776" s="1480" t="s">
        <v>2063</v>
      </c>
      <c r="I776" s="1427" t="str">
        <f t="shared" si="110"/>
        <v/>
      </c>
      <c r="J776" s="1480"/>
      <c r="K776" s="1480" t="str">
        <f t="shared" si="111"/>
        <v/>
      </c>
      <c r="L776" s="906" t="s">
        <v>1402</v>
      </c>
      <c r="M776" s="1480">
        <v>759</v>
      </c>
      <c r="N776" s="1480"/>
      <c r="O776" s="1477"/>
      <c r="P776" s="1477"/>
      <c r="Q776" s="1477"/>
      <c r="R776" s="1480" t="s">
        <v>1550</v>
      </c>
      <c r="S776" s="1477"/>
      <c r="T776" s="1480" t="str">
        <f t="shared" si="106"/>
        <v/>
      </c>
      <c r="U776" s="1477"/>
      <c r="V776" s="1477"/>
      <c r="W776" s="1477"/>
      <c r="X776" s="1477"/>
      <c r="Y776" s="1477"/>
      <c r="Z776" s="1477"/>
    </row>
    <row r="777" spans="1:26"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80" t="s">
        <v>1514</v>
      </c>
      <c r="G777" s="1480" t="str">
        <f>IF(T777&lt;&gt;"","AN","")</f>
        <v/>
      </c>
      <c r="H777" s="1480" t="s">
        <v>2063</v>
      </c>
      <c r="I777" s="1427" t="str">
        <f t="shared" si="110"/>
        <v/>
      </c>
      <c r="J777" s="1480" t="str">
        <f t="shared" si="107"/>
        <v/>
      </c>
      <c r="K777" s="1480" t="str">
        <f t="shared" si="111"/>
        <v/>
      </c>
      <c r="L777" s="906" t="s">
        <v>1514</v>
      </c>
      <c r="M777" s="1480">
        <v>760</v>
      </c>
      <c r="N777" s="1480"/>
      <c r="O777" s="1477"/>
      <c r="P777" s="1484" t="str" cm="1">
        <f t="array" aca="1" ref="P777" ca="1">_xlfn.CONCAT("F",RIGHT(B777, LEN(B777) - MAX(IF(ISNUMBER(MID(B777, ROW(INDIRECT("1:"&amp;LEN(B777))), 1) *1)=FALSE, ROW(INDIRECT("1:"&amp;LEN(B777))), 0))))</f>
        <v>F161</v>
      </c>
      <c r="Q777" s="1480" t="str" cm="1">
        <f t="array" aca="1" ref="Q777" ca="1">_xlfn.CONCAT("E",RIGHT(C777, LEN(C777) - MAX(IF(ISNUMBER(MID(C777, ROW(INDIRECT("1:"&amp;LEN(C777))), 1) *1)=FALSE, ROW(INDIRECT("1:"&amp;LEN(C777))), 0))))</f>
        <v>E161</v>
      </c>
      <c r="R777" s="1480" t="s">
        <v>1550</v>
      </c>
      <c r="S777" s="1477"/>
      <c r="T777" s="1480" t="str">
        <f t="shared" si="106"/>
        <v/>
      </c>
      <c r="U777" s="1477"/>
      <c r="V777" s="1477"/>
      <c r="W777" s="1477"/>
      <c r="X777" s="1477"/>
      <c r="Y777" s="1477"/>
      <c r="Z777" s="1477"/>
    </row>
    <row r="778" spans="1:26"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80" t="s">
        <v>1511</v>
      </c>
      <c r="G778" s="1480" t="str">
        <f>IF(T778&lt;&gt;"","AL","")</f>
        <v/>
      </c>
      <c r="H778" s="1480" t="s">
        <v>2063</v>
      </c>
      <c r="I778" s="1427" t="str">
        <f t="shared" si="110"/>
        <v/>
      </c>
      <c r="J778" s="1480" t="str">
        <f t="shared" si="107"/>
        <v/>
      </c>
      <c r="K778" s="1480" t="str">
        <f t="shared" si="111"/>
        <v/>
      </c>
      <c r="L778" s="906" t="s">
        <v>1511</v>
      </c>
      <c r="M778" s="1480">
        <v>761</v>
      </c>
      <c r="N778" s="1480"/>
      <c r="O778" s="1477"/>
      <c r="P778" s="1477"/>
      <c r="Q778" s="1477"/>
      <c r="R778" s="1480" t="s">
        <v>1550</v>
      </c>
      <c r="S778" s="1477"/>
      <c r="T778" s="1480" t="str">
        <f t="shared" si="106"/>
        <v/>
      </c>
      <c r="U778" s="1477"/>
      <c r="V778" s="1477"/>
      <c r="W778" s="1477"/>
      <c r="X778" s="1477"/>
      <c r="Y778" s="1477"/>
      <c r="Z778" s="1477"/>
    </row>
    <row r="779" spans="1:26"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80" t="s">
        <v>1985</v>
      </c>
      <c r="G779" s="1480" t="str">
        <f>IF(T779&lt;&gt;"","O","")</f>
        <v/>
      </c>
      <c r="H779" s="1480" t="s">
        <v>2063</v>
      </c>
      <c r="I779" s="1427" t="str">
        <f t="shared" si="110"/>
        <v/>
      </c>
      <c r="J779" s="1480"/>
      <c r="K779" s="1480" t="str">
        <f t="shared" si="111"/>
        <v/>
      </c>
      <c r="L779" s="906" t="s">
        <v>1405</v>
      </c>
      <c r="M779" s="1480">
        <v>762</v>
      </c>
      <c r="N779" s="1480"/>
      <c r="O779" s="1477"/>
      <c r="P779" s="1477"/>
      <c r="Q779" s="1477"/>
      <c r="R779" s="1480" t="s">
        <v>1550</v>
      </c>
      <c r="S779" s="1477"/>
      <c r="T779" s="1480" t="str">
        <f>IF(Q$766="Yes",11,"")</f>
        <v/>
      </c>
      <c r="U779" s="1477"/>
      <c r="V779" s="1477"/>
      <c r="W779" s="1477"/>
      <c r="X779" s="1477"/>
      <c r="Y779" s="1477"/>
      <c r="Z779" s="1477"/>
    </row>
    <row r="780" spans="1:26"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80" t="s">
        <v>1510</v>
      </c>
      <c r="G780" s="1480" t="str">
        <f>IF(T780&lt;&gt;"","A","")</f>
        <v/>
      </c>
      <c r="H780" s="1480" t="s">
        <v>2063</v>
      </c>
      <c r="I780" s="1427" t="str">
        <f t="shared" si="110"/>
        <v/>
      </c>
      <c r="J780" s="1480"/>
      <c r="K780" s="1480" t="str">
        <f t="shared" si="111"/>
        <v/>
      </c>
      <c r="L780" s="906" t="s">
        <v>1510</v>
      </c>
      <c r="M780" s="1480">
        <v>763</v>
      </c>
      <c r="N780" s="1480"/>
      <c r="O780" s="1477" t="s">
        <v>728</v>
      </c>
      <c r="P780" s="1477"/>
      <c r="Q780" s="1477"/>
      <c r="R780" s="1480" t="s">
        <v>1550</v>
      </c>
      <c r="S780" s="1477"/>
      <c r="T780" s="1480" t="str">
        <f t="shared" ref="T780:T793" si="112">IF(Q$781="Yes",12,"")</f>
        <v/>
      </c>
      <c r="U780" s="1477"/>
      <c r="V780" s="1477"/>
      <c r="W780" s="1477"/>
      <c r="X780" s="1477"/>
      <c r="Y780" s="1477"/>
      <c r="Z780" s="1477"/>
    </row>
    <row r="781" spans="1:26"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80"/>
      <c r="G781" s="1480"/>
      <c r="H781" s="1480"/>
      <c r="I781" s="1427" t="str">
        <f t="shared" si="110"/>
        <v/>
      </c>
      <c r="J781" s="1480" t="str">
        <f t="shared" ref="J781:J793" si="113">IF(M781&lt;&gt;"",IF($Q$781="Yes",Q$1&amp;M781,""))</f>
        <v/>
      </c>
      <c r="K781" s="1480" t="str">
        <f t="shared" si="111"/>
        <v/>
      </c>
      <c r="L781" s="906" t="s">
        <v>1724</v>
      </c>
      <c r="M781" s="1480">
        <v>764</v>
      </c>
      <c r="N781" s="1480"/>
      <c r="O781" s="1477">
        <f>'Configurable Tab'!H14</f>
        <v>165</v>
      </c>
      <c r="P781" s="1477"/>
      <c r="Q781" s="1477" t="s">
        <v>651</v>
      </c>
      <c r="R781" s="1480" t="s">
        <v>1550</v>
      </c>
      <c r="S781" s="1477"/>
      <c r="T781" s="1480" t="str">
        <f t="shared" si="112"/>
        <v/>
      </c>
      <c r="U781" s="1477"/>
      <c r="V781" s="1477"/>
      <c r="W781" s="1477"/>
      <c r="X781" s="1477"/>
      <c r="Y781" s="1477"/>
      <c r="Z781" s="1477"/>
    </row>
    <row r="782" spans="1:26"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80" t="s">
        <v>1399</v>
      </c>
      <c r="G782" s="1480" t="str">
        <f>IF(T782&lt;&gt;"","B","")</f>
        <v/>
      </c>
      <c r="H782" s="1480" t="s">
        <v>2063</v>
      </c>
      <c r="I782" s="1427" t="str">
        <f t="shared" si="110"/>
        <v/>
      </c>
      <c r="J782" s="1480"/>
      <c r="K782" s="1480" t="str">
        <f t="shared" si="111"/>
        <v/>
      </c>
      <c r="L782" s="906" t="s">
        <v>1399</v>
      </c>
      <c r="M782" s="1480">
        <v>765</v>
      </c>
      <c r="N782" s="1480"/>
      <c r="O782" s="1477" t="s">
        <v>729</v>
      </c>
      <c r="P782" s="1477"/>
      <c r="Q782" s="1477"/>
      <c r="R782" s="1480" t="s">
        <v>1550</v>
      </c>
      <c r="S782" s="1477"/>
      <c r="T782" s="1480" t="str">
        <f t="shared" si="112"/>
        <v/>
      </c>
      <c r="U782" s="1477"/>
      <c r="V782" s="1477"/>
      <c r="W782" s="1477"/>
      <c r="X782" s="1477"/>
      <c r="Y782" s="1477"/>
      <c r="Z782" s="1477"/>
    </row>
    <row r="783" spans="1:26" x14ac:dyDescent="0.25">
      <c r="A783" s="932" t="s">
        <v>1396</v>
      </c>
      <c r="B783" s="906" t="str">
        <f t="shared" ref="B783:B789" ca="1" si="114">_xlfn.CONCAT(IFERROR(SUBSTITUTE(ADDRESS(1,MATCH(A783,INDIRECT("'"&amp;E783&amp;"'"&amp;"!A" &amp; $O$781 + 2 &amp; ":Z" &amp; $O$781+ 2),0),4),1,""),""),$O$781 + 2)</f>
        <v>H167</v>
      </c>
      <c r="C783" s="906" t="str">
        <f t="shared" ref="C783:C789" ca="1" si="115">_xlfn.CONCAT(IFERROR(SUBSTITUTE(ADDRESS(1,MATCH(A783,INDIRECT("'"&amp;E783&amp;"'"&amp;"!A" &amp; $O$781 + 2 &amp; ":Z" &amp; $O$781+ 2),0),4),1,""),""),$O$781 + 3)</f>
        <v>H168</v>
      </c>
      <c r="D783" s="906" t="s">
        <v>1365</v>
      </c>
      <c r="E783" s="906" t="s">
        <v>1535</v>
      </c>
      <c r="F783" s="1480" t="s">
        <v>2064</v>
      </c>
      <c r="G783" s="1480" t="str">
        <f>IF(T783&lt;&gt;"","E","")</f>
        <v/>
      </c>
      <c r="H783" s="1480" t="s">
        <v>2063</v>
      </c>
      <c r="I783" s="1427" t="str">
        <f t="shared" si="110"/>
        <v/>
      </c>
      <c r="J783" s="1480" t="str">
        <f t="shared" si="113"/>
        <v/>
      </c>
      <c r="K783" s="1480" t="str">
        <f t="shared" si="111"/>
        <v/>
      </c>
      <c r="L783" s="906" t="s">
        <v>1396</v>
      </c>
      <c r="M783" s="1480">
        <v>766</v>
      </c>
      <c r="N783" s="1480"/>
      <c r="O783" s="1477">
        <f>'Configurable Tab'!I14</f>
        <v>178</v>
      </c>
      <c r="P783" s="1477"/>
      <c r="Q783" s="1477"/>
      <c r="R783" s="1480" t="s">
        <v>1550</v>
      </c>
      <c r="S783" s="1477"/>
      <c r="T783" s="1480" t="str">
        <f t="shared" si="112"/>
        <v/>
      </c>
      <c r="U783" s="1477"/>
      <c r="V783" s="1477"/>
      <c r="W783" s="1477"/>
      <c r="X783" s="1477"/>
      <c r="Y783" s="1477"/>
      <c r="Z783" s="1477"/>
    </row>
    <row r="784" spans="1:26" x14ac:dyDescent="0.25">
      <c r="A784" s="932" t="s">
        <v>1397</v>
      </c>
      <c r="B784" s="906" t="str">
        <f t="shared" ca="1" si="114"/>
        <v>J167</v>
      </c>
      <c r="C784" s="906" t="str">
        <f t="shared" ca="1" si="115"/>
        <v>J168</v>
      </c>
      <c r="D784" s="906" t="s">
        <v>1365</v>
      </c>
      <c r="E784" s="906" t="s">
        <v>1535</v>
      </c>
      <c r="F784" s="1480" t="s">
        <v>2065</v>
      </c>
      <c r="G784" s="1480" t="str">
        <f>IF(T784&lt;&gt;"","I","")</f>
        <v/>
      </c>
      <c r="H784" s="1480" t="s">
        <v>2063</v>
      </c>
      <c r="I784" s="1427" t="str">
        <f t="shared" si="110"/>
        <v/>
      </c>
      <c r="J784" s="1480" t="str">
        <f t="shared" si="113"/>
        <v/>
      </c>
      <c r="K784" s="1480" t="str">
        <f t="shared" si="111"/>
        <v/>
      </c>
      <c r="L784" s="906" t="s">
        <v>1397</v>
      </c>
      <c r="M784" s="1480">
        <v>767</v>
      </c>
      <c r="N784" s="1480"/>
      <c r="O784" s="1477" t="s">
        <v>1662</v>
      </c>
      <c r="P784" s="1477"/>
      <c r="Q784" s="1477"/>
      <c r="R784" s="1480" t="s">
        <v>1550</v>
      </c>
      <c r="S784" s="1477"/>
      <c r="T784" s="1480" t="str">
        <f t="shared" si="112"/>
        <v/>
      </c>
      <c r="U784" s="1477"/>
      <c r="V784" s="1477"/>
      <c r="W784" s="1477"/>
      <c r="X784" s="1477"/>
      <c r="Y784" s="1477"/>
      <c r="Z784" s="1477"/>
    </row>
    <row r="785" spans="1:26" x14ac:dyDescent="0.25">
      <c r="A785" s="932" t="s">
        <v>1413</v>
      </c>
      <c r="B785" s="906" t="str">
        <f t="shared" ca="1" si="114"/>
        <v>L167</v>
      </c>
      <c r="C785" s="906" t="str">
        <f t="shared" ca="1" si="115"/>
        <v>L168</v>
      </c>
      <c r="D785" s="906" t="s">
        <v>1365</v>
      </c>
      <c r="E785" s="906" t="s">
        <v>1535</v>
      </c>
      <c r="F785" s="1480" t="s">
        <v>2066</v>
      </c>
      <c r="G785" s="1480" t="str">
        <f>IF(T785&lt;&gt;"","H","")</f>
        <v/>
      </c>
      <c r="H785" s="1480" t="s">
        <v>2063</v>
      </c>
      <c r="I785" s="1427" t="str">
        <f t="shared" si="110"/>
        <v/>
      </c>
      <c r="J785" s="1480" t="str">
        <f t="shared" si="113"/>
        <v/>
      </c>
      <c r="K785" s="1480" t="str">
        <f t="shared" si="111"/>
        <v/>
      </c>
      <c r="L785" s="906" t="s">
        <v>1413</v>
      </c>
      <c r="M785" s="1480">
        <v>768</v>
      </c>
      <c r="N785" s="1480"/>
      <c r="O785" s="1477"/>
      <c r="P785" s="1477"/>
      <c r="Q785" s="1477"/>
      <c r="R785" s="1480" t="s">
        <v>1550</v>
      </c>
      <c r="S785" s="1477"/>
      <c r="T785" s="1480" t="str">
        <f t="shared" si="112"/>
        <v/>
      </c>
      <c r="U785" s="1477"/>
      <c r="V785" s="1477"/>
      <c r="W785" s="1477"/>
      <c r="X785" s="1477"/>
      <c r="Y785" s="1477"/>
      <c r="Z785" s="1477"/>
    </row>
    <row r="786" spans="1:26" x14ac:dyDescent="0.25">
      <c r="A786" s="932" t="s">
        <v>1398</v>
      </c>
      <c r="B786" s="906" t="str">
        <f t="shared" ca="1" si="114"/>
        <v>N167</v>
      </c>
      <c r="C786" s="906" t="str">
        <f t="shared" ca="1" si="115"/>
        <v>N168</v>
      </c>
      <c r="D786" s="906" t="s">
        <v>1365</v>
      </c>
      <c r="E786" s="906" t="s">
        <v>1535</v>
      </c>
      <c r="F786" s="1480" t="s">
        <v>1398</v>
      </c>
      <c r="G786" s="1480" t="str">
        <f>IF(T786&lt;&gt;"",IF(Q784="Credit Memo","J",IF(Q784="Check","K","")),"")</f>
        <v/>
      </c>
      <c r="H786" s="1480" t="s">
        <v>2063</v>
      </c>
      <c r="I786" s="1427" t="str">
        <f t="shared" si="110"/>
        <v/>
      </c>
      <c r="J786" s="1480" t="str">
        <f t="shared" si="113"/>
        <v/>
      </c>
      <c r="K786" s="1480" t="str">
        <f t="shared" si="111"/>
        <v/>
      </c>
      <c r="L786" s="906" t="s">
        <v>1398</v>
      </c>
      <c r="M786" s="1480">
        <v>769</v>
      </c>
      <c r="N786" s="1480"/>
      <c r="O786" s="1477"/>
      <c r="P786" s="1477"/>
      <c r="Q786" s="1477"/>
      <c r="R786" s="1480" t="s">
        <v>1550</v>
      </c>
      <c r="S786" s="1477"/>
      <c r="T786" s="1480" t="str">
        <f t="shared" si="112"/>
        <v/>
      </c>
      <c r="U786" s="1477"/>
      <c r="V786" s="1477"/>
      <c r="W786" s="1477"/>
      <c r="X786" s="1477"/>
      <c r="Y786" s="1477"/>
      <c r="Z786" s="1477"/>
    </row>
    <row r="787" spans="1:26" x14ac:dyDescent="0.25">
      <c r="A787" s="932" t="s">
        <v>1505</v>
      </c>
      <c r="B787" s="906" t="str">
        <f t="shared" ca="1" si="114"/>
        <v>P167</v>
      </c>
      <c r="C787" s="906" t="str">
        <f t="shared" ca="1" si="115"/>
        <v>P168</v>
      </c>
      <c r="D787" s="906" t="s">
        <v>1365</v>
      </c>
      <c r="E787" s="906" t="s">
        <v>1535</v>
      </c>
      <c r="F787" s="1480" t="s">
        <v>2067</v>
      </c>
      <c r="G787" s="1480" t="str">
        <f>IF(T787&lt;&gt;"","F","")</f>
        <v/>
      </c>
      <c r="H787" s="1480" t="s">
        <v>2063</v>
      </c>
      <c r="I787" s="1427" t="str">
        <f t="shared" si="110"/>
        <v/>
      </c>
      <c r="J787" s="1480" t="str">
        <f t="shared" si="113"/>
        <v/>
      </c>
      <c r="K787" s="1480" t="str">
        <f t="shared" si="111"/>
        <v/>
      </c>
      <c r="L787" s="906" t="s">
        <v>1505</v>
      </c>
      <c r="M787" s="1480">
        <v>770</v>
      </c>
      <c r="N787" s="1480"/>
      <c r="O787" s="1477"/>
      <c r="P787" s="1477"/>
      <c r="Q787" s="1477"/>
      <c r="R787" s="1480" t="s">
        <v>1550</v>
      </c>
      <c r="S787" s="1477"/>
      <c r="T787" s="1480" t="str">
        <f t="shared" si="112"/>
        <v/>
      </c>
      <c r="U787" s="1477"/>
      <c r="V787" s="1477"/>
      <c r="W787" s="1477"/>
      <c r="X787" s="1477"/>
      <c r="Y787" s="1477"/>
      <c r="Z787" s="1477"/>
    </row>
    <row r="788" spans="1:26" x14ac:dyDescent="0.25">
      <c r="A788" s="932" t="s">
        <v>1506</v>
      </c>
      <c r="B788" s="906" t="str">
        <f t="shared" ca="1" si="114"/>
        <v>R167</v>
      </c>
      <c r="C788" s="906" t="str">
        <f t="shared" ca="1" si="115"/>
        <v>R168</v>
      </c>
      <c r="D788" s="906" t="s">
        <v>1365</v>
      </c>
      <c r="E788" s="906" t="s">
        <v>1535</v>
      </c>
      <c r="F788" s="1480" t="s">
        <v>2068</v>
      </c>
      <c r="G788" s="1480" t="str">
        <f>IF(T788&lt;&gt;"","G","")</f>
        <v/>
      </c>
      <c r="H788" s="1480" t="s">
        <v>2063</v>
      </c>
      <c r="I788" s="1427" t="str">
        <f t="shared" si="110"/>
        <v/>
      </c>
      <c r="J788" s="1480" t="str">
        <f t="shared" si="113"/>
        <v/>
      </c>
      <c r="K788" s="1480" t="str">
        <f t="shared" si="111"/>
        <v/>
      </c>
      <c r="L788" s="906" t="s">
        <v>1506</v>
      </c>
      <c r="M788" s="1480">
        <v>771</v>
      </c>
      <c r="N788" s="1480"/>
      <c r="O788" s="1477"/>
      <c r="P788" s="1477"/>
      <c r="Q788" s="1477"/>
      <c r="R788" s="1480" t="s">
        <v>1550</v>
      </c>
      <c r="S788" s="1477"/>
      <c r="T788" s="1480" t="str">
        <f t="shared" si="112"/>
        <v/>
      </c>
      <c r="U788" s="1477"/>
      <c r="V788" s="1477"/>
      <c r="W788" s="1477"/>
      <c r="X788" s="1477"/>
      <c r="Y788" s="1477"/>
      <c r="Z788" s="1477"/>
    </row>
    <row r="789" spans="1:26" x14ac:dyDescent="0.25">
      <c r="A789" s="932" t="s">
        <v>1507</v>
      </c>
      <c r="B789" s="906" t="str">
        <f t="shared" ca="1" si="114"/>
        <v>T167</v>
      </c>
      <c r="C789" s="906" t="str">
        <f t="shared" ca="1" si="115"/>
        <v>T168</v>
      </c>
      <c r="D789" s="906" t="s">
        <v>1365</v>
      </c>
      <c r="E789" s="906" t="s">
        <v>1535</v>
      </c>
      <c r="F789" s="923" t="s">
        <v>1507</v>
      </c>
      <c r="G789" s="1480" t="str">
        <f>IF(T789&lt;&gt;"","AW","")</f>
        <v/>
      </c>
      <c r="H789" s="1480" t="s">
        <v>2063</v>
      </c>
      <c r="I789" s="1427" t="str">
        <f t="shared" si="110"/>
        <v/>
      </c>
      <c r="J789" s="1480" t="str">
        <f t="shared" si="113"/>
        <v/>
      </c>
      <c r="K789" s="1480" t="str">
        <f t="shared" si="111"/>
        <v/>
      </c>
      <c r="L789" s="906" t="s">
        <v>1507</v>
      </c>
      <c r="M789" s="1480">
        <v>772</v>
      </c>
      <c r="N789" s="1480"/>
      <c r="O789" s="1477"/>
      <c r="P789" s="1477"/>
      <c r="Q789" s="1477"/>
      <c r="R789" s="1480" t="s">
        <v>1550</v>
      </c>
      <c r="S789" s="1477"/>
      <c r="T789" s="1480" t="str">
        <f t="shared" si="112"/>
        <v/>
      </c>
      <c r="U789" s="1477"/>
      <c r="V789" s="1477"/>
      <c r="W789" s="1477"/>
      <c r="X789" s="1477"/>
      <c r="Y789" s="1477"/>
      <c r="Z789" s="1477"/>
    </row>
    <row r="790" spans="1:26"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80" t="s">
        <v>1401</v>
      </c>
      <c r="G790" s="1480" t="str">
        <f>IF(T790&lt;&gt;"","C","")</f>
        <v/>
      </c>
      <c r="H790" s="1480" t="s">
        <v>2063</v>
      </c>
      <c r="I790" s="1427" t="str">
        <f t="shared" si="110"/>
        <v/>
      </c>
      <c r="J790" s="1480"/>
      <c r="K790" s="1480" t="str">
        <f t="shared" si="111"/>
        <v/>
      </c>
      <c r="L790" s="906" t="s">
        <v>1401</v>
      </c>
      <c r="M790" s="1480">
        <v>773</v>
      </c>
      <c r="N790" s="1480"/>
      <c r="O790" s="1477"/>
      <c r="P790" s="1477"/>
      <c r="Q790" s="1477"/>
      <c r="R790" s="1480" t="s">
        <v>1550</v>
      </c>
      <c r="S790" s="1477"/>
      <c r="T790" s="1480" t="str">
        <f t="shared" si="112"/>
        <v/>
      </c>
      <c r="U790" s="1477"/>
      <c r="V790" s="1477"/>
      <c r="W790" s="1477"/>
      <c r="X790" s="1477"/>
      <c r="Y790" s="1477"/>
      <c r="Z790" s="1477"/>
    </row>
    <row r="791" spans="1:26"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80" t="s">
        <v>1402</v>
      </c>
      <c r="G791" s="1480" t="str">
        <f>IF(T791&lt;&gt;"","D","")</f>
        <v/>
      </c>
      <c r="H791" s="1480" t="s">
        <v>2063</v>
      </c>
      <c r="I791" s="1427" t="str">
        <f t="shared" si="110"/>
        <v/>
      </c>
      <c r="J791" s="1480"/>
      <c r="K791" s="1480" t="str">
        <f t="shared" si="111"/>
        <v/>
      </c>
      <c r="L791" s="906" t="s">
        <v>1402</v>
      </c>
      <c r="M791" s="1480">
        <v>774</v>
      </c>
      <c r="N791" s="1480"/>
      <c r="O791" s="1477"/>
      <c r="P791" s="1477"/>
      <c r="Q791" s="1477"/>
      <c r="R791" s="1480" t="s">
        <v>1550</v>
      </c>
      <c r="S791" s="1477"/>
      <c r="T791" s="1480" t="str">
        <f t="shared" si="112"/>
        <v/>
      </c>
      <c r="U791" s="1477"/>
      <c r="V791" s="1477"/>
      <c r="W791" s="1477"/>
      <c r="X791" s="1477"/>
      <c r="Y791" s="1477"/>
      <c r="Z791" s="1477"/>
    </row>
    <row r="792" spans="1:26"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80" t="s">
        <v>1514</v>
      </c>
      <c r="G792" s="1480" t="str">
        <f>IF(T792&lt;&gt;"","AN","")</f>
        <v/>
      </c>
      <c r="H792" s="1480" t="s">
        <v>2063</v>
      </c>
      <c r="I792" s="1427" t="str">
        <f t="shared" si="110"/>
        <v/>
      </c>
      <c r="J792" s="1480" t="str">
        <f t="shared" si="113"/>
        <v/>
      </c>
      <c r="K792" s="1480" t="str">
        <f t="shared" si="111"/>
        <v/>
      </c>
      <c r="L792" s="906" t="s">
        <v>1514</v>
      </c>
      <c r="M792" s="1480">
        <v>775</v>
      </c>
      <c r="N792" s="1480"/>
      <c r="O792" s="1477"/>
      <c r="P792" s="1484" t="str" cm="1">
        <f t="array" aca="1" ref="P792" ca="1">_xlfn.CONCAT("F",RIGHT(B792, LEN(B792) - MAX(IF(ISNUMBER(MID(B792, ROW(INDIRECT("1:"&amp;LEN(B792))), 1) *1)=FALSE, ROW(INDIRECT("1:"&amp;LEN(B792))), 0))))</f>
        <v>F175</v>
      </c>
      <c r="Q792" s="1480" t="str" cm="1">
        <f t="array" aca="1" ref="Q792" ca="1">_xlfn.CONCAT("E",RIGHT(C792, LEN(C792) - MAX(IF(ISNUMBER(MID(C792, ROW(INDIRECT("1:"&amp;LEN(C792))), 1) *1)=FALSE, ROW(INDIRECT("1:"&amp;LEN(C792))), 0))))</f>
        <v>E175</v>
      </c>
      <c r="R792" s="1480" t="s">
        <v>1550</v>
      </c>
      <c r="S792" s="1477"/>
      <c r="T792" s="1480" t="str">
        <f t="shared" si="112"/>
        <v/>
      </c>
      <c r="U792" s="1477"/>
      <c r="V792" s="1477"/>
      <c r="W792" s="1477"/>
      <c r="X792" s="1477"/>
      <c r="Y792" s="1477"/>
      <c r="Z792" s="1477"/>
    </row>
    <row r="793" spans="1:26"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80" t="s">
        <v>1511</v>
      </c>
      <c r="G793" s="1480" t="str">
        <f>IF(T793&lt;&gt;"","AL","")</f>
        <v/>
      </c>
      <c r="H793" s="1480" t="s">
        <v>2063</v>
      </c>
      <c r="I793" s="1427" t="str">
        <f t="shared" si="110"/>
        <v/>
      </c>
      <c r="J793" s="1480" t="str">
        <f t="shared" si="113"/>
        <v/>
      </c>
      <c r="K793" s="1480" t="str">
        <f t="shared" si="111"/>
        <v/>
      </c>
      <c r="L793" s="906" t="s">
        <v>1511</v>
      </c>
      <c r="M793" s="1480">
        <v>776</v>
      </c>
      <c r="N793" s="1480"/>
      <c r="O793" s="1477"/>
      <c r="P793" s="1477"/>
      <c r="Q793" s="1477"/>
      <c r="R793" s="1480" t="s">
        <v>1550</v>
      </c>
      <c r="S793" s="1477"/>
      <c r="T793" s="1480" t="str">
        <f t="shared" si="112"/>
        <v/>
      </c>
      <c r="U793" s="1477"/>
      <c r="V793" s="1477"/>
      <c r="W793" s="1477"/>
      <c r="X793" s="1477"/>
      <c r="Y793" s="1477"/>
      <c r="Z793" s="1477"/>
    </row>
    <row r="794" spans="1:26"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80" t="s">
        <v>1985</v>
      </c>
      <c r="G794" s="1480" t="str">
        <f>IF(T794&lt;&gt;"","O","")</f>
        <v/>
      </c>
      <c r="H794" s="1480" t="s">
        <v>2063</v>
      </c>
      <c r="I794" s="1427" t="str">
        <f t="shared" si="110"/>
        <v/>
      </c>
      <c r="J794" s="1480"/>
      <c r="K794" s="1480" t="str">
        <f t="shared" si="111"/>
        <v/>
      </c>
      <c r="L794" s="906" t="s">
        <v>1405</v>
      </c>
      <c r="M794" s="1480">
        <v>777</v>
      </c>
      <c r="N794" s="1480"/>
      <c r="O794" s="1477"/>
      <c r="P794" s="1477"/>
      <c r="Q794" s="1477"/>
      <c r="R794" s="1480" t="s">
        <v>1550</v>
      </c>
      <c r="S794" s="1477"/>
      <c r="T794" s="1480" t="str">
        <f>IF(Q$781="Yes",12,"")</f>
        <v/>
      </c>
      <c r="U794" s="1477"/>
      <c r="V794" s="1477"/>
      <c r="W794" s="1477"/>
      <c r="X794" s="1477"/>
      <c r="Y794" s="1477"/>
      <c r="Z794" s="1477"/>
    </row>
    <row r="795" spans="1:26"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80" t="s">
        <v>1510</v>
      </c>
      <c r="G795" s="1480" t="str">
        <f>IF(T795&lt;&gt;"","A","")</f>
        <v>A</v>
      </c>
      <c r="H795" s="1480" t="s">
        <v>2063</v>
      </c>
      <c r="I795" s="1427" t="str">
        <f t="shared" si="110"/>
        <v/>
      </c>
      <c r="J795" s="1480"/>
      <c r="K795" s="1480" t="str">
        <f t="shared" si="111"/>
        <v/>
      </c>
      <c r="L795" s="906" t="s">
        <v>1510</v>
      </c>
      <c r="M795" s="1480">
        <v>778</v>
      </c>
      <c r="N795" s="1480"/>
      <c r="O795" s="1477" t="s">
        <v>728</v>
      </c>
      <c r="P795" s="1477"/>
      <c r="Q795" s="1477"/>
      <c r="R795" s="1480" t="s">
        <v>1550</v>
      </c>
      <c r="S795" s="1477"/>
      <c r="T795" s="1480">
        <f t="shared" ref="T795:T812" si="116">IF(Q$796="Yes",13,"")</f>
        <v>13</v>
      </c>
      <c r="U795" s="1477"/>
      <c r="V795" s="1477"/>
      <c r="W795" s="1477"/>
      <c r="X795" s="1477"/>
      <c r="Y795" s="1477"/>
      <c r="Z795" s="1477"/>
    </row>
    <row r="796" spans="1:26"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80"/>
      <c r="G796" s="1480"/>
      <c r="H796" s="1480"/>
      <c r="I796" s="1427" t="str">
        <f t="shared" si="110"/>
        <v>Offer This Incentive?</v>
      </c>
      <c r="J796" s="1480" t="str">
        <f t="shared" ref="J796:J810" si="117">IF(M796&lt;&gt;"",IF($Q$796="Yes",Q$1&amp;M796,""))</f>
        <v>F779</v>
      </c>
      <c r="K796" s="1480" t="str">
        <f t="shared" si="111"/>
        <v>Incentives Worksheet</v>
      </c>
      <c r="L796" s="906" t="s">
        <v>1724</v>
      </c>
      <c r="M796" s="1480">
        <v>779</v>
      </c>
      <c r="N796" s="1480"/>
      <c r="O796" s="1477">
        <f>'Configurable Tab'!H15</f>
        <v>179</v>
      </c>
      <c r="P796" s="1477"/>
      <c r="Q796" s="1477" t="s">
        <v>649</v>
      </c>
      <c r="R796" s="1480" t="s">
        <v>1550</v>
      </c>
      <c r="S796" s="1477"/>
      <c r="T796" s="1480">
        <f t="shared" si="116"/>
        <v>13</v>
      </c>
      <c r="U796" s="1477"/>
      <c r="V796" s="1477"/>
      <c r="W796" s="1477"/>
      <c r="X796" s="1477"/>
      <c r="Y796" s="1477"/>
      <c r="Z796" s="1477"/>
    </row>
    <row r="797" spans="1:26"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80" t="s">
        <v>1399</v>
      </c>
      <c r="G797" s="1480" t="str">
        <f>IF(T797&lt;&gt;"","B","")</f>
        <v>B</v>
      </c>
      <c r="H797" s="1480" t="s">
        <v>2063</v>
      </c>
      <c r="I797" s="1427" t="str">
        <f t="shared" si="110"/>
        <v/>
      </c>
      <c r="J797" s="1480"/>
      <c r="K797" s="1480" t="str">
        <f t="shared" si="111"/>
        <v/>
      </c>
      <c r="L797" s="906" t="s">
        <v>1399</v>
      </c>
      <c r="M797" s="1480">
        <v>780</v>
      </c>
      <c r="N797" s="1480"/>
      <c r="O797" s="1477" t="s">
        <v>729</v>
      </c>
      <c r="P797" s="1477"/>
      <c r="Q797" s="1477"/>
      <c r="R797" s="1480" t="s">
        <v>1550</v>
      </c>
      <c r="S797" s="1477"/>
      <c r="T797" s="1480">
        <f t="shared" si="116"/>
        <v>13</v>
      </c>
      <c r="U797" s="1477"/>
      <c r="V797" s="1477"/>
      <c r="W797" s="1477"/>
      <c r="X797" s="1477"/>
      <c r="Y797" s="1477"/>
      <c r="Z797" s="1477"/>
    </row>
    <row r="798" spans="1:26" x14ac:dyDescent="0.25">
      <c r="A798" s="929" t="s">
        <v>1396</v>
      </c>
      <c r="B798" s="906" t="str">
        <f t="shared" ref="B798:B804" ca="1" si="118">_xlfn.CONCAT(IFERROR(SUBSTITUTE(ADDRESS(1,MATCH(A798,INDIRECT("'"&amp;E798&amp;"'"&amp;"!A" &amp; $O$796 + 2 &amp; ":Z" &amp; $O$796+ 2),0),4),1,""),""),$O$796 + 2)</f>
        <v>H181</v>
      </c>
      <c r="C798" s="906" t="str">
        <f t="shared" ref="C798:C804" ca="1" si="119">_xlfn.CONCAT(IFERROR(SUBSTITUTE(ADDRESS(1,MATCH(A798,INDIRECT("'"&amp;E798&amp;"'"&amp;"!A" &amp; $O$796 + 2 &amp; ":Z" &amp; $O$796+ 2),0),4),1,""),""),$O$796 + 3)</f>
        <v>H182</v>
      </c>
      <c r="D798" s="906" t="s">
        <v>1365</v>
      </c>
      <c r="E798" s="906" t="s">
        <v>1535</v>
      </c>
      <c r="F798" s="1480" t="s">
        <v>2064</v>
      </c>
      <c r="G798" s="1480" t="str">
        <f>IF(T798&lt;&gt;"","E","")</f>
        <v>E</v>
      </c>
      <c r="H798" s="1480" t="s">
        <v>2063</v>
      </c>
      <c r="I798" s="1427" t="str">
        <f t="shared" si="110"/>
        <v>Incentive Period</v>
      </c>
      <c r="J798" s="1480" t="str">
        <f t="shared" si="117"/>
        <v>F781</v>
      </c>
      <c r="K798" s="1480" t="str">
        <f t="shared" si="111"/>
        <v>Incentives Worksheet</v>
      </c>
      <c r="L798" s="906" t="s">
        <v>1396</v>
      </c>
      <c r="M798" s="1480">
        <v>781</v>
      </c>
      <c r="N798" s="1480"/>
      <c r="O798" s="1477">
        <f>'Configurable Tab'!I15</f>
        <v>192</v>
      </c>
      <c r="P798" s="1477"/>
      <c r="Q798" s="1477"/>
      <c r="R798" s="1480" t="s">
        <v>1550</v>
      </c>
      <c r="S798" s="1477"/>
      <c r="T798" s="1480">
        <f t="shared" si="116"/>
        <v>13</v>
      </c>
      <c r="U798" s="1477"/>
      <c r="V798" s="1477"/>
      <c r="W798" s="1477"/>
      <c r="X798" s="1477"/>
      <c r="Y798" s="1477"/>
      <c r="Z798" s="1477"/>
    </row>
    <row r="799" spans="1:26" x14ac:dyDescent="0.25">
      <c r="A799" s="929" t="s">
        <v>1397</v>
      </c>
      <c r="B799" s="906" t="str">
        <f t="shared" ca="1" si="118"/>
        <v>J181</v>
      </c>
      <c r="C799" s="906" t="str">
        <f t="shared" ca="1" si="119"/>
        <v>J182</v>
      </c>
      <c r="D799" s="906" t="s">
        <v>1365</v>
      </c>
      <c r="E799" s="906" t="s">
        <v>1535</v>
      </c>
      <c r="F799" s="1480" t="s">
        <v>2065</v>
      </c>
      <c r="G799" s="1480" t="str">
        <f>IF(T799&lt;&gt;"","I","")</f>
        <v>I</v>
      </c>
      <c r="H799" s="1480" t="s">
        <v>2063</v>
      </c>
      <c r="I799" s="1427" t="str">
        <f t="shared" si="110"/>
        <v>Payment Method</v>
      </c>
      <c r="J799" s="1480" t="str">
        <f t="shared" si="117"/>
        <v>F782</v>
      </c>
      <c r="K799" s="1480" t="str">
        <f t="shared" si="111"/>
        <v>Incentives Worksheet</v>
      </c>
      <c r="L799" s="906" t="s">
        <v>1397</v>
      </c>
      <c r="M799" s="1480">
        <v>782</v>
      </c>
      <c r="N799" s="1480"/>
      <c r="O799" s="1477" t="s">
        <v>1663</v>
      </c>
      <c r="P799" s="1477"/>
      <c r="Q799" s="1477" t="s">
        <v>484</v>
      </c>
      <c r="R799" s="1480" t="s">
        <v>1550</v>
      </c>
      <c r="S799" s="1477"/>
      <c r="T799" s="1480">
        <f t="shared" si="116"/>
        <v>13</v>
      </c>
      <c r="U799" s="1477"/>
      <c r="V799" s="1477"/>
      <c r="W799" s="1477"/>
      <c r="X799" s="1477"/>
      <c r="Y799" s="1477"/>
      <c r="Z799" s="1477"/>
    </row>
    <row r="800" spans="1:26" x14ac:dyDescent="0.25">
      <c r="A800" s="929" t="s">
        <v>1413</v>
      </c>
      <c r="B800" s="906" t="str">
        <f t="shared" ca="1" si="118"/>
        <v>L181</v>
      </c>
      <c r="C800" s="906" t="str">
        <f t="shared" ca="1" si="119"/>
        <v>L182</v>
      </c>
      <c r="D800" s="906" t="s">
        <v>1365</v>
      </c>
      <c r="E800" s="906" t="s">
        <v>1535</v>
      </c>
      <c r="F800" s="1480" t="s">
        <v>2066</v>
      </c>
      <c r="G800" s="1480" t="str">
        <f>IF(T800&lt;&gt;"","H","")</f>
        <v>H</v>
      </c>
      <c r="H800" s="1480" t="s">
        <v>2063</v>
      </c>
      <c r="I800" s="1427" t="str">
        <f t="shared" si="110"/>
        <v>Paid To</v>
      </c>
      <c r="J800" s="1480" t="str">
        <f t="shared" si="117"/>
        <v>F783</v>
      </c>
      <c r="K800" s="1480" t="str">
        <f t="shared" si="111"/>
        <v>Incentives Worksheet</v>
      </c>
      <c r="L800" s="906" t="s">
        <v>1413</v>
      </c>
      <c r="M800" s="1480">
        <v>783</v>
      </c>
      <c r="N800" s="1480"/>
      <c r="O800" s="1477"/>
      <c r="P800" s="1477"/>
      <c r="Q800" s="1477"/>
      <c r="R800" s="1480" t="s">
        <v>1550</v>
      </c>
      <c r="S800" s="1477"/>
      <c r="T800" s="1480">
        <f t="shared" si="116"/>
        <v>13</v>
      </c>
      <c r="U800" s="1477"/>
      <c r="V800" s="1477"/>
      <c r="W800" s="1477"/>
      <c r="X800" s="1477"/>
      <c r="Y800" s="1477"/>
      <c r="Z800" s="1477"/>
    </row>
    <row r="801" spans="1:26" x14ac:dyDescent="0.25">
      <c r="A801" s="929" t="s">
        <v>1398</v>
      </c>
      <c r="B801" s="906" t="str">
        <f t="shared" ca="1" si="118"/>
        <v>N181</v>
      </c>
      <c r="C801" s="906" t="str">
        <f t="shared" ca="1" si="119"/>
        <v>N182</v>
      </c>
      <c r="D801" s="906" t="s">
        <v>1365</v>
      </c>
      <c r="E801" s="906" t="s">
        <v>1535</v>
      </c>
      <c r="F801" s="1480" t="s">
        <v>1398</v>
      </c>
      <c r="G801" s="1480" t="str">
        <f>IF(T801&lt;&gt;"",IF(Q799="Credit Memo","J",IF(Q799="Check","K","")),"")</f>
        <v>J</v>
      </c>
      <c r="H801" s="1480" t="s">
        <v>2063</v>
      </c>
      <c r="I801" s="1427" t="str">
        <f t="shared" si="110"/>
        <v>AP/AR Vendor Number</v>
      </c>
      <c r="J801" s="1480" t="str">
        <f t="shared" si="117"/>
        <v>F784</v>
      </c>
      <c r="K801" s="1480" t="str">
        <f t="shared" si="111"/>
        <v>Incentives Worksheet</v>
      </c>
      <c r="L801" s="906" t="s">
        <v>1398</v>
      </c>
      <c r="M801" s="1480">
        <v>784</v>
      </c>
      <c r="N801" s="1480"/>
      <c r="O801" s="1477"/>
      <c r="P801" s="1477"/>
      <c r="Q801" s="1477"/>
      <c r="R801" s="1480" t="s">
        <v>1550</v>
      </c>
      <c r="S801" s="1477"/>
      <c r="T801" s="1480">
        <f t="shared" si="116"/>
        <v>13</v>
      </c>
      <c r="U801" s="1477"/>
      <c r="V801" s="1477"/>
      <c r="W801" s="1477"/>
      <c r="X801" s="1477"/>
      <c r="Y801" s="1477"/>
      <c r="Z801" s="1477"/>
    </row>
    <row r="802" spans="1:26" x14ac:dyDescent="0.25">
      <c r="A802" s="929" t="s">
        <v>1505</v>
      </c>
      <c r="B802" s="906" t="str">
        <f t="shared" ca="1" si="118"/>
        <v>P181</v>
      </c>
      <c r="C802" s="906" t="str">
        <f t="shared" ca="1" si="119"/>
        <v>P182</v>
      </c>
      <c r="D802" s="906" t="s">
        <v>1365</v>
      </c>
      <c r="E802" s="906" t="s">
        <v>1535</v>
      </c>
      <c r="F802" s="1480" t="s">
        <v>2067</v>
      </c>
      <c r="G802" s="1480" t="str">
        <f>IF(T802&lt;&gt;"","F","")</f>
        <v>F</v>
      </c>
      <c r="H802" s="1480" t="s">
        <v>2063</v>
      </c>
      <c r="I802" s="1427" t="str">
        <f t="shared" si="110"/>
        <v>Qualifying Cycle</v>
      </c>
      <c r="J802" s="1480" t="str">
        <f t="shared" si="117"/>
        <v>F785</v>
      </c>
      <c r="K802" s="1480" t="str">
        <f t="shared" si="111"/>
        <v>Incentives Worksheet</v>
      </c>
      <c r="L802" s="906" t="s">
        <v>1505</v>
      </c>
      <c r="M802" s="1480">
        <v>785</v>
      </c>
      <c r="N802" s="1480"/>
      <c r="O802" s="1477"/>
      <c r="P802" s="1477"/>
      <c r="Q802" s="1477"/>
      <c r="R802" s="1480" t="s">
        <v>1550</v>
      </c>
      <c r="S802" s="1477"/>
      <c r="T802" s="1480">
        <f t="shared" si="116"/>
        <v>13</v>
      </c>
      <c r="U802" s="1477"/>
      <c r="V802" s="1477"/>
      <c r="W802" s="1477"/>
      <c r="X802" s="1477"/>
      <c r="Y802" s="1477"/>
      <c r="Z802" s="1477"/>
    </row>
    <row r="803" spans="1:26" x14ac:dyDescent="0.25">
      <c r="A803" s="929" t="s">
        <v>1506</v>
      </c>
      <c r="B803" s="906" t="str">
        <f t="shared" ca="1" si="118"/>
        <v>R181</v>
      </c>
      <c r="C803" s="906" t="str">
        <f t="shared" ca="1" si="119"/>
        <v>R182</v>
      </c>
      <c r="D803" s="906" t="s">
        <v>1365</v>
      </c>
      <c r="E803" s="906" t="s">
        <v>1535</v>
      </c>
      <c r="F803" s="1480" t="s">
        <v>2068</v>
      </c>
      <c r="G803" s="1480" t="str">
        <f>IF(T803&lt;&gt;"","G","")</f>
        <v>G</v>
      </c>
      <c r="H803" s="1480" t="s">
        <v>2063</v>
      </c>
      <c r="I803" s="1427" t="str">
        <f t="shared" si="110"/>
        <v>Incentive Calendar</v>
      </c>
      <c r="J803" s="1480" t="str">
        <f t="shared" si="117"/>
        <v>F786</v>
      </c>
      <c r="K803" s="1480" t="str">
        <f t="shared" si="111"/>
        <v>Incentives Worksheet</v>
      </c>
      <c r="L803" s="906" t="s">
        <v>1506</v>
      </c>
      <c r="M803" s="1480">
        <v>786</v>
      </c>
      <c r="N803" s="1480"/>
      <c r="O803" s="1477"/>
      <c r="P803" s="1477"/>
      <c r="Q803" s="1477"/>
      <c r="R803" s="1480" t="s">
        <v>1550</v>
      </c>
      <c r="S803" s="1477"/>
      <c r="T803" s="1480">
        <f t="shared" si="116"/>
        <v>13</v>
      </c>
      <c r="U803" s="1477"/>
      <c r="V803" s="1477"/>
      <c r="W803" s="1477"/>
      <c r="X803" s="1477"/>
      <c r="Y803" s="1477"/>
      <c r="Z803" s="1477"/>
    </row>
    <row r="804" spans="1:26" x14ac:dyDescent="0.25">
      <c r="A804" s="929" t="s">
        <v>1507</v>
      </c>
      <c r="B804" s="906" t="str">
        <f t="shared" ca="1" si="118"/>
        <v>T181</v>
      </c>
      <c r="C804" s="906" t="str">
        <f t="shared" ca="1" si="119"/>
        <v>T182</v>
      </c>
      <c r="D804" s="906" t="s">
        <v>1365</v>
      </c>
      <c r="E804" s="906" t="s">
        <v>1535</v>
      </c>
      <c r="F804" s="923" t="s">
        <v>1507</v>
      </c>
      <c r="G804" s="1480" t="str">
        <f>IF(T804&lt;&gt;"","AW","")</f>
        <v>AW</v>
      </c>
      <c r="H804" s="1480" t="s">
        <v>2063</v>
      </c>
      <c r="I804" s="1427" t="str">
        <f t="shared" si="110"/>
        <v>Post to GL Payment Method Flag</v>
      </c>
      <c r="J804" s="1480" t="str">
        <f t="shared" si="117"/>
        <v>F787</v>
      </c>
      <c r="K804" s="1480" t="str">
        <f t="shared" si="111"/>
        <v>Incentives Worksheet</v>
      </c>
      <c r="L804" s="906" t="s">
        <v>1507</v>
      </c>
      <c r="M804" s="1480">
        <v>787</v>
      </c>
      <c r="N804" s="1480"/>
      <c r="O804" s="1477"/>
      <c r="P804" s="1477"/>
      <c r="Q804" s="1477"/>
      <c r="R804" s="1480" t="s">
        <v>1550</v>
      </c>
      <c r="S804" s="1477"/>
      <c r="T804" s="1480">
        <f t="shared" si="116"/>
        <v>13</v>
      </c>
      <c r="U804" s="1477"/>
      <c r="V804" s="1477"/>
      <c r="W804" s="1477"/>
      <c r="X804" s="1477"/>
      <c r="Y804" s="1477"/>
      <c r="Z804" s="1477"/>
    </row>
    <row r="805" spans="1:26"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80" t="s">
        <v>1401</v>
      </c>
      <c r="G805" s="1480" t="str">
        <f>IF(T805&lt;&gt;"","C","")</f>
        <v>C</v>
      </c>
      <c r="H805" s="1480" t="s">
        <v>2063</v>
      </c>
      <c r="I805" s="1427" t="str">
        <f t="shared" si="110"/>
        <v/>
      </c>
      <c r="J805" s="1480"/>
      <c r="K805" s="1480" t="str">
        <f t="shared" si="111"/>
        <v/>
      </c>
      <c r="L805" s="906" t="s">
        <v>1401</v>
      </c>
      <c r="M805" s="1480">
        <v>788</v>
      </c>
      <c r="N805" s="1480"/>
      <c r="O805" s="1477"/>
      <c r="P805" s="1477"/>
      <c r="Q805" s="1477"/>
      <c r="R805" s="1480" t="s">
        <v>1550</v>
      </c>
      <c r="S805" s="1477"/>
      <c r="T805" s="1480">
        <f t="shared" si="116"/>
        <v>13</v>
      </c>
      <c r="U805" s="1477"/>
      <c r="V805" s="1477"/>
      <c r="W805" s="1477"/>
      <c r="X805" s="1477"/>
      <c r="Y805" s="1477"/>
      <c r="Z805" s="1477"/>
    </row>
    <row r="806" spans="1:26"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80" t="s">
        <v>1402</v>
      </c>
      <c r="G806" s="1480" t="str">
        <f>IF(T806&lt;&gt;"","D","")</f>
        <v>D</v>
      </c>
      <c r="H806" s="1480" t="s">
        <v>2063</v>
      </c>
      <c r="I806" s="1427" t="str">
        <f t="shared" si="110"/>
        <v/>
      </c>
      <c r="J806" s="1480"/>
      <c r="K806" s="1480" t="str">
        <f t="shared" si="111"/>
        <v/>
      </c>
      <c r="L806" s="906" t="s">
        <v>1402</v>
      </c>
      <c r="M806" s="1480">
        <v>789</v>
      </c>
      <c r="N806" s="1480"/>
      <c r="O806" s="1477"/>
      <c r="P806" s="1477"/>
      <c r="Q806" s="1477"/>
      <c r="R806" s="1480" t="s">
        <v>1550</v>
      </c>
      <c r="S806" s="1477"/>
      <c r="T806" s="1480">
        <f t="shared" si="116"/>
        <v>13</v>
      </c>
      <c r="U806" s="1477"/>
      <c r="V806" s="1477"/>
      <c r="W806" s="1477"/>
      <c r="X806" s="1477"/>
      <c r="Y806" s="1477"/>
      <c r="Z806" s="1477"/>
    </row>
    <row r="807" spans="1:26"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80" t="s">
        <v>1514</v>
      </c>
      <c r="G807" s="1480" t="str">
        <f>IF(T807&lt;&gt;"","AN","")</f>
        <v>AN</v>
      </c>
      <c r="H807" s="1480" t="s">
        <v>2063</v>
      </c>
      <c r="I807" s="1427" t="str">
        <f t="shared" si="110"/>
        <v>Incentive Dates Match Agreement Dates Flag</v>
      </c>
      <c r="J807" s="1480" t="str">
        <f t="shared" si="117"/>
        <v>F790</v>
      </c>
      <c r="K807" s="1480" t="str">
        <f t="shared" si="111"/>
        <v>Incentives Worksheet</v>
      </c>
      <c r="L807" s="906" t="s">
        <v>1514</v>
      </c>
      <c r="M807" s="1480">
        <v>790</v>
      </c>
      <c r="N807" s="1480"/>
      <c r="O807" s="1477"/>
      <c r="P807" s="1484" t="str" cm="1">
        <f t="array" aca="1" ref="P807" ca="1">_xlfn.CONCAT("F",RIGHT(B807, LEN(B807) - MAX(IF(ISNUMBER(MID(B807, ROW(INDIRECT("1:"&amp;LEN(B807))), 1) *1)=FALSE, ROW(INDIRECT("1:"&amp;LEN(B807))), 0))))</f>
        <v>F189</v>
      </c>
      <c r="Q807" s="1480" t="str" cm="1">
        <f t="array" aca="1" ref="Q807" ca="1">_xlfn.CONCAT("E",RIGHT(C807, LEN(C807) - MAX(IF(ISNUMBER(MID(C807, ROW(INDIRECT("1:"&amp;LEN(C807))), 1) *1)=FALSE, ROW(INDIRECT("1:"&amp;LEN(C807))), 0))))</f>
        <v>E189</v>
      </c>
      <c r="R807" s="1480" t="s">
        <v>1550</v>
      </c>
      <c r="S807" s="1477"/>
      <c r="T807" s="1480">
        <f t="shared" si="116"/>
        <v>13</v>
      </c>
      <c r="U807" s="1477"/>
      <c r="V807" s="1477"/>
      <c r="W807" s="1477"/>
      <c r="X807" s="1477"/>
      <c r="Y807" s="1477"/>
      <c r="Z807" s="1477"/>
    </row>
    <row r="808" spans="1:26"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80" t="s">
        <v>1511</v>
      </c>
      <c r="G808" s="1480" t="str">
        <f>IF(T808&lt;&gt;"","AL","")</f>
        <v>AL</v>
      </c>
      <c r="H808" s="1480" t="s">
        <v>2063</v>
      </c>
      <c r="I808" s="1427" t="str">
        <f t="shared" si="110"/>
        <v>Include All Customers Flag</v>
      </c>
      <c r="J808" s="1480" t="str">
        <f t="shared" si="117"/>
        <v>F791</v>
      </c>
      <c r="K808" s="1480" t="str">
        <f t="shared" si="111"/>
        <v>Incentives Worksheet</v>
      </c>
      <c r="L808" s="906" t="s">
        <v>1511</v>
      </c>
      <c r="M808" s="1480">
        <v>791</v>
      </c>
      <c r="N808" s="1480"/>
      <c r="O808" s="1477"/>
      <c r="P808" s="1477"/>
      <c r="Q808" s="1477"/>
      <c r="R808" s="1480" t="s">
        <v>1550</v>
      </c>
      <c r="S808" s="1477"/>
      <c r="T808" s="1480">
        <f t="shared" si="116"/>
        <v>13</v>
      </c>
      <c r="U808" s="1477"/>
      <c r="V808" s="1477"/>
      <c r="W808" s="1477"/>
      <c r="X808" s="1477"/>
      <c r="Y808" s="1477"/>
      <c r="Z808" s="1477"/>
    </row>
    <row r="809" spans="1:26"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80" t="s">
        <v>2069</v>
      </c>
      <c r="G809" s="1480" t="str">
        <f>IF(T809&lt;&gt;"","L","")</f>
        <v>L</v>
      </c>
      <c r="H809" s="1480" t="s">
        <v>2063</v>
      </c>
      <c r="I809" s="1427" t="str">
        <f t="shared" si="110"/>
        <v>Customer Aggregation</v>
      </c>
      <c r="J809" s="1480" t="str">
        <f t="shared" si="117"/>
        <v>F792</v>
      </c>
      <c r="K809" s="1480" t="str">
        <f t="shared" si="111"/>
        <v>Incentives Worksheet</v>
      </c>
      <c r="L809" s="906" t="s">
        <v>1525</v>
      </c>
      <c r="M809" s="1480">
        <v>792</v>
      </c>
      <c r="N809" s="1480"/>
      <c r="O809" s="1477"/>
      <c r="P809" s="1477"/>
      <c r="Q809" s="1477"/>
      <c r="R809" s="1480" t="s">
        <v>1550</v>
      </c>
      <c r="S809" s="1477"/>
      <c r="T809" s="1480">
        <f t="shared" si="116"/>
        <v>13</v>
      </c>
      <c r="U809" s="1477"/>
      <c r="V809" s="1477"/>
      <c r="W809" s="1477"/>
      <c r="X809" s="1477"/>
      <c r="Y809" s="1477"/>
      <c r="Z809" s="1477"/>
    </row>
    <row r="810" spans="1:26"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80" t="str">
        <f>IF(T810&lt;&gt;"","AH","")</f>
        <v>AH</v>
      </c>
      <c r="H810" s="1480" t="s">
        <v>2063</v>
      </c>
      <c r="I810" s="1427" t="str">
        <f t="shared" si="110"/>
        <v>Minimum Units</v>
      </c>
      <c r="J810" s="1480" t="str">
        <f t="shared" si="117"/>
        <v>F793</v>
      </c>
      <c r="K810" s="1480" t="str">
        <f t="shared" si="111"/>
        <v>Incentives Worksheet</v>
      </c>
      <c r="L810" s="906" t="s">
        <v>1403</v>
      </c>
      <c r="M810" s="1480">
        <v>793</v>
      </c>
      <c r="N810" s="1480"/>
      <c r="O810" s="1477"/>
      <c r="P810" s="1477"/>
      <c r="Q810" s="1477"/>
      <c r="R810" s="1480" t="s">
        <v>1550</v>
      </c>
      <c r="S810" s="1477"/>
      <c r="T810" s="1480">
        <f t="shared" si="116"/>
        <v>13</v>
      </c>
      <c r="U810" s="1477"/>
      <c r="V810" s="1477"/>
      <c r="W810" s="1477"/>
      <c r="X810" s="1477"/>
      <c r="Y810" s="1477"/>
      <c r="Z810" s="1477"/>
    </row>
    <row r="811" spans="1:26"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80"/>
      <c r="H811" s="1480"/>
      <c r="I811" s="1427" t="str">
        <f t="shared" si="110"/>
        <v/>
      </c>
      <c r="J811" s="1480"/>
      <c r="K811" s="1480" t="str">
        <f t="shared" si="111"/>
        <v/>
      </c>
      <c r="L811" s="906" t="s">
        <v>1404</v>
      </c>
      <c r="M811" s="1480">
        <v>794</v>
      </c>
      <c r="N811" s="1480"/>
      <c r="O811" s="1477"/>
      <c r="P811" s="1477"/>
      <c r="Q811" s="1477"/>
      <c r="R811" s="1480" t="s">
        <v>1550</v>
      </c>
      <c r="S811" s="1477"/>
      <c r="T811" s="1480">
        <f t="shared" si="116"/>
        <v>13</v>
      </c>
      <c r="U811" s="1477"/>
      <c r="V811" s="1477"/>
      <c r="W811" s="1477"/>
      <c r="X811" s="1477"/>
      <c r="Y811" s="1477"/>
      <c r="Z811" s="1477"/>
    </row>
    <row r="812" spans="1:26"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80" t="s">
        <v>1985</v>
      </c>
      <c r="G812" s="1480" t="str">
        <f>IF(T812&lt;&gt;"","AI","")</f>
        <v>AI</v>
      </c>
      <c r="H812" s="1480" t="s">
        <v>2063</v>
      </c>
      <c r="I812" s="1427" t="str">
        <f t="shared" si="110"/>
        <v/>
      </c>
      <c r="J812" s="1480"/>
      <c r="K812" s="1480" t="str">
        <f t="shared" si="111"/>
        <v/>
      </c>
      <c r="L812" s="906" t="s">
        <v>1405</v>
      </c>
      <c r="M812" s="1480">
        <v>795</v>
      </c>
      <c r="N812" s="1480"/>
      <c r="O812" s="1477"/>
      <c r="P812" s="1477"/>
      <c r="Q812" s="1477"/>
      <c r="R812" s="1480" t="s">
        <v>1550</v>
      </c>
      <c r="S812" s="1477"/>
      <c r="T812" s="1480">
        <f t="shared" si="116"/>
        <v>13</v>
      </c>
      <c r="U812" s="1477"/>
      <c r="V812" s="1477"/>
      <c r="W812" s="1477"/>
      <c r="X812" s="1477"/>
      <c r="Y812" s="1477"/>
      <c r="Z812" s="1477"/>
    </row>
    <row r="813" spans="1:26"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80" t="s">
        <v>1510</v>
      </c>
      <c r="G813" s="1480" t="str">
        <f>IF(T813&lt;&gt;"","A","")</f>
        <v/>
      </c>
      <c r="H813" s="1480" t="s">
        <v>2063</v>
      </c>
      <c r="I813" s="1427" t="str">
        <f t="shared" si="110"/>
        <v/>
      </c>
      <c r="J813" s="1480"/>
      <c r="K813" s="1480" t="str">
        <f t="shared" si="111"/>
        <v/>
      </c>
      <c r="L813" s="906" t="s">
        <v>1510</v>
      </c>
      <c r="M813" s="1480">
        <v>796</v>
      </c>
      <c r="N813" s="1480"/>
      <c r="O813" s="1477" t="s">
        <v>728</v>
      </c>
      <c r="P813" s="1477"/>
      <c r="Q813" s="1477"/>
      <c r="R813" s="1480" t="s">
        <v>1550</v>
      </c>
      <c r="S813" s="1477"/>
      <c r="T813" s="1480" t="str">
        <f t="shared" ref="T813:T830" si="120">IF(Q$814="Yes",14,"")</f>
        <v/>
      </c>
      <c r="U813" s="1477"/>
      <c r="V813" s="1477"/>
      <c r="W813" s="1477"/>
      <c r="X813" s="1477"/>
      <c r="Y813" s="1477"/>
      <c r="Z813" s="1477"/>
    </row>
    <row r="814" spans="1:26"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80"/>
      <c r="G814" s="1480"/>
      <c r="H814" s="1480"/>
      <c r="I814" s="1427" t="str">
        <f t="shared" si="110"/>
        <v/>
      </c>
      <c r="J814" s="1480" t="str">
        <f t="shared" ref="J814:J828" si="121">IF(M814&lt;&gt;"",IF($Q$814="Yes",Q$1&amp;M814,""))</f>
        <v/>
      </c>
      <c r="K814" s="1480" t="str">
        <f t="shared" si="111"/>
        <v/>
      </c>
      <c r="L814" s="906" t="s">
        <v>1724</v>
      </c>
      <c r="M814" s="1480">
        <v>797</v>
      </c>
      <c r="N814" s="1480"/>
      <c r="O814" s="1477">
        <f>'Configurable Tab'!H16</f>
        <v>193</v>
      </c>
      <c r="P814" s="1477"/>
      <c r="Q814" s="1477" t="s">
        <v>651</v>
      </c>
      <c r="R814" s="1480" t="s">
        <v>1550</v>
      </c>
      <c r="S814" s="1477"/>
      <c r="T814" s="1480" t="str">
        <f t="shared" si="120"/>
        <v/>
      </c>
      <c r="U814" s="1477"/>
      <c r="V814" s="1477"/>
      <c r="W814" s="1477"/>
      <c r="X814" s="1477"/>
      <c r="Y814" s="1477"/>
      <c r="Z814" s="1477"/>
    </row>
    <row r="815" spans="1:26"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80" t="s">
        <v>1399</v>
      </c>
      <c r="G815" s="1480" t="str">
        <f>IF(T815&lt;&gt;"","B","")</f>
        <v/>
      </c>
      <c r="H815" s="1480" t="s">
        <v>2063</v>
      </c>
      <c r="I815" s="1427" t="str">
        <f t="shared" si="110"/>
        <v/>
      </c>
      <c r="J815" s="1480"/>
      <c r="K815" s="1480" t="str">
        <f t="shared" si="111"/>
        <v/>
      </c>
      <c r="L815" s="906" t="s">
        <v>1399</v>
      </c>
      <c r="M815" s="1480">
        <v>798</v>
      </c>
      <c r="N815" s="1480"/>
      <c r="O815" s="1477" t="s">
        <v>729</v>
      </c>
      <c r="P815" s="1477"/>
      <c r="Q815" s="1477"/>
      <c r="R815" s="1480" t="s">
        <v>1550</v>
      </c>
      <c r="S815" s="1477"/>
      <c r="T815" s="1480" t="str">
        <f t="shared" si="120"/>
        <v/>
      </c>
      <c r="U815" s="1477"/>
      <c r="V815" s="1477"/>
      <c r="W815" s="1477"/>
      <c r="X815" s="1477"/>
      <c r="Y815" s="1477"/>
      <c r="Z815" s="1477"/>
    </row>
    <row r="816" spans="1:26" x14ac:dyDescent="0.25">
      <c r="A816" s="932" t="s">
        <v>1396</v>
      </c>
      <c r="B816" s="906" t="str">
        <f t="shared" ref="B816:B822" ca="1" si="122">_xlfn.CONCAT(IFERROR(SUBSTITUTE(ADDRESS(1,MATCH(A816,INDIRECT("'"&amp;E816&amp;"'"&amp;"!A" &amp; $O$814 + 2 &amp; ":Z" &amp; $O$814+ 2),0),4),1,""),""),$O$814 + 2)</f>
        <v>H195</v>
      </c>
      <c r="C816" s="906" t="str">
        <f t="shared" ref="C816:C822" ca="1" si="123">_xlfn.CONCAT(IFERROR(SUBSTITUTE(ADDRESS(1,MATCH(A816,INDIRECT("'"&amp;E816&amp;"'"&amp;"!A" &amp; $O$814 + 2 &amp; ":Z" &amp; $O$814+ 2),0),4),1,""),""),$O$814 + 3)</f>
        <v>H196</v>
      </c>
      <c r="D816" s="906" t="s">
        <v>1365</v>
      </c>
      <c r="E816" s="906" t="s">
        <v>1535</v>
      </c>
      <c r="F816" s="1480" t="s">
        <v>2064</v>
      </c>
      <c r="G816" s="1480" t="str">
        <f>IF(T816&lt;&gt;"","E","")</f>
        <v/>
      </c>
      <c r="H816" s="1480" t="s">
        <v>2063</v>
      </c>
      <c r="I816" s="1427" t="str">
        <f t="shared" si="110"/>
        <v/>
      </c>
      <c r="J816" s="1480" t="str">
        <f t="shared" si="121"/>
        <v/>
      </c>
      <c r="K816" s="1480" t="str">
        <f t="shared" si="111"/>
        <v/>
      </c>
      <c r="L816" s="906" t="s">
        <v>1396</v>
      </c>
      <c r="M816" s="1480">
        <v>799</v>
      </c>
      <c r="N816" s="1480"/>
      <c r="O816" s="1477">
        <f>'Configurable Tab'!I16</f>
        <v>206</v>
      </c>
      <c r="P816" s="1477"/>
      <c r="Q816" s="1477"/>
      <c r="R816" s="1480" t="s">
        <v>1550</v>
      </c>
      <c r="S816" s="1477"/>
      <c r="T816" s="1480" t="str">
        <f t="shared" si="120"/>
        <v/>
      </c>
      <c r="U816" s="1477"/>
      <c r="V816" s="1477"/>
      <c r="W816" s="1477"/>
      <c r="X816" s="1477"/>
      <c r="Y816" s="1477"/>
      <c r="Z816" s="1477"/>
    </row>
    <row r="817" spans="1:26" x14ac:dyDescent="0.25">
      <c r="A817" s="932" t="s">
        <v>1397</v>
      </c>
      <c r="B817" s="906" t="str">
        <f t="shared" ca="1" si="122"/>
        <v>J195</v>
      </c>
      <c r="C817" s="906" t="str">
        <f t="shared" ca="1" si="123"/>
        <v>J196</v>
      </c>
      <c r="D817" s="906" t="s">
        <v>1365</v>
      </c>
      <c r="E817" s="906" t="s">
        <v>1535</v>
      </c>
      <c r="F817" s="1480" t="s">
        <v>2065</v>
      </c>
      <c r="G817" s="1480" t="str">
        <f>IF(T817&lt;&gt;"","I","")</f>
        <v/>
      </c>
      <c r="H817" s="1480" t="s">
        <v>2063</v>
      </c>
      <c r="I817" s="1427" t="str">
        <f t="shared" si="110"/>
        <v/>
      </c>
      <c r="J817" s="1480" t="str">
        <f t="shared" si="121"/>
        <v/>
      </c>
      <c r="K817" s="1480" t="str">
        <f t="shared" si="111"/>
        <v/>
      </c>
      <c r="L817" s="906" t="s">
        <v>1397</v>
      </c>
      <c r="M817" s="1480">
        <v>800</v>
      </c>
      <c r="N817" s="1480"/>
      <c r="O817" s="1477" t="s">
        <v>1664</v>
      </c>
      <c r="P817" s="1477"/>
      <c r="Q817" s="1477"/>
      <c r="R817" s="1480" t="s">
        <v>1550</v>
      </c>
      <c r="S817" s="1477"/>
      <c r="T817" s="1480" t="str">
        <f t="shared" si="120"/>
        <v/>
      </c>
      <c r="U817" s="1477"/>
      <c r="V817" s="1477"/>
      <c r="W817" s="1477"/>
      <c r="X817" s="1477"/>
      <c r="Y817" s="1477"/>
      <c r="Z817" s="1477"/>
    </row>
    <row r="818" spans="1:26" x14ac:dyDescent="0.25">
      <c r="A818" s="932" t="s">
        <v>1413</v>
      </c>
      <c r="B818" s="906" t="str">
        <f t="shared" ca="1" si="122"/>
        <v>L195</v>
      </c>
      <c r="C818" s="906" t="str">
        <f t="shared" ca="1" si="123"/>
        <v>L196</v>
      </c>
      <c r="D818" s="906" t="s">
        <v>1365</v>
      </c>
      <c r="E818" s="906" t="s">
        <v>1535</v>
      </c>
      <c r="F818" s="1480" t="s">
        <v>2066</v>
      </c>
      <c r="G818" s="1480" t="str">
        <f>IF(T818&lt;&gt;"","H","")</f>
        <v/>
      </c>
      <c r="H818" s="1480" t="s">
        <v>2063</v>
      </c>
      <c r="I818" s="1427" t="str">
        <f t="shared" si="110"/>
        <v/>
      </c>
      <c r="J818" s="1480" t="str">
        <f t="shared" si="121"/>
        <v/>
      </c>
      <c r="K818" s="1480" t="str">
        <f t="shared" si="111"/>
        <v/>
      </c>
      <c r="L818" s="906" t="s">
        <v>1413</v>
      </c>
      <c r="M818" s="1480">
        <v>801</v>
      </c>
      <c r="N818" s="1480"/>
      <c r="O818" s="1477"/>
      <c r="P818" s="1477"/>
      <c r="Q818" s="1477"/>
      <c r="R818" s="1480" t="s">
        <v>1550</v>
      </c>
      <c r="S818" s="1477"/>
      <c r="T818" s="1480" t="str">
        <f t="shared" si="120"/>
        <v/>
      </c>
      <c r="U818" s="1477"/>
      <c r="V818" s="1477"/>
      <c r="W818" s="1477"/>
      <c r="X818" s="1477"/>
      <c r="Y818" s="1477"/>
      <c r="Z818" s="1477"/>
    </row>
    <row r="819" spans="1:26" x14ac:dyDescent="0.25">
      <c r="A819" s="932" t="s">
        <v>1398</v>
      </c>
      <c r="B819" s="906" t="str">
        <f t="shared" ca="1" si="122"/>
        <v>N195</v>
      </c>
      <c r="C819" s="906" t="str">
        <f t="shared" ca="1" si="123"/>
        <v>N196</v>
      </c>
      <c r="D819" s="906" t="s">
        <v>1365</v>
      </c>
      <c r="E819" s="906" t="s">
        <v>1535</v>
      </c>
      <c r="F819" s="1480" t="s">
        <v>1398</v>
      </c>
      <c r="G819" s="1480" t="str">
        <f>IF(T819&lt;&gt;"",IF(Q817="Credit Memo","J",IF(Q817="Check","K","")),"")</f>
        <v/>
      </c>
      <c r="H819" s="1480" t="s">
        <v>2063</v>
      </c>
      <c r="I819" s="1427" t="str">
        <f t="shared" si="110"/>
        <v/>
      </c>
      <c r="J819" s="1480" t="str">
        <f t="shared" si="121"/>
        <v/>
      </c>
      <c r="K819" s="1480" t="str">
        <f t="shared" si="111"/>
        <v/>
      </c>
      <c r="L819" s="906" t="s">
        <v>1398</v>
      </c>
      <c r="M819" s="1480">
        <v>802</v>
      </c>
      <c r="N819" s="1480"/>
      <c r="O819" s="1477"/>
      <c r="P819" s="1477"/>
      <c r="Q819" s="1477"/>
      <c r="R819" s="1480" t="s">
        <v>1550</v>
      </c>
      <c r="S819" s="1477"/>
      <c r="T819" s="1480" t="str">
        <f t="shared" si="120"/>
        <v/>
      </c>
      <c r="U819" s="1477"/>
      <c r="V819" s="1477"/>
      <c r="W819" s="1477"/>
      <c r="X819" s="1477"/>
      <c r="Y819" s="1477"/>
      <c r="Z819" s="1477"/>
    </row>
    <row r="820" spans="1:26" x14ac:dyDescent="0.25">
      <c r="A820" s="932" t="s">
        <v>1505</v>
      </c>
      <c r="B820" s="906" t="str">
        <f t="shared" ca="1" si="122"/>
        <v>P195</v>
      </c>
      <c r="C820" s="906" t="str">
        <f t="shared" ca="1" si="123"/>
        <v>P196</v>
      </c>
      <c r="D820" s="906" t="s">
        <v>1365</v>
      </c>
      <c r="E820" s="906" t="s">
        <v>1535</v>
      </c>
      <c r="F820" s="1480" t="s">
        <v>2067</v>
      </c>
      <c r="G820" s="1480" t="str">
        <f>IF(T820&lt;&gt;"","F","")</f>
        <v/>
      </c>
      <c r="H820" s="1480" t="s">
        <v>2063</v>
      </c>
      <c r="I820" s="1427" t="str">
        <f t="shared" si="110"/>
        <v/>
      </c>
      <c r="J820" s="1480" t="str">
        <f t="shared" si="121"/>
        <v/>
      </c>
      <c r="K820" s="1480" t="str">
        <f t="shared" si="111"/>
        <v/>
      </c>
      <c r="L820" s="906" t="s">
        <v>1505</v>
      </c>
      <c r="M820" s="1480">
        <v>803</v>
      </c>
      <c r="N820" s="1480"/>
      <c r="O820" s="1477"/>
      <c r="P820" s="1477"/>
      <c r="Q820" s="1477"/>
      <c r="R820" s="1480" t="s">
        <v>1550</v>
      </c>
      <c r="S820" s="1477"/>
      <c r="T820" s="1480" t="str">
        <f t="shared" si="120"/>
        <v/>
      </c>
      <c r="U820" s="1477"/>
      <c r="V820" s="1477"/>
      <c r="W820" s="1477"/>
      <c r="X820" s="1477"/>
      <c r="Y820" s="1477"/>
      <c r="Z820" s="1477"/>
    </row>
    <row r="821" spans="1:26" x14ac:dyDescent="0.25">
      <c r="A821" s="932" t="s">
        <v>1506</v>
      </c>
      <c r="B821" s="906" t="str">
        <f t="shared" ca="1" si="122"/>
        <v>R195</v>
      </c>
      <c r="C821" s="906" t="str">
        <f t="shared" ca="1" si="123"/>
        <v>R196</v>
      </c>
      <c r="D821" s="906" t="s">
        <v>1365</v>
      </c>
      <c r="E821" s="906" t="s">
        <v>1535</v>
      </c>
      <c r="F821" s="1480" t="s">
        <v>2068</v>
      </c>
      <c r="G821" s="1480" t="str">
        <f>IF(T821&lt;&gt;"","G","")</f>
        <v/>
      </c>
      <c r="H821" s="1480" t="s">
        <v>2063</v>
      </c>
      <c r="I821" s="1427" t="str">
        <f t="shared" si="110"/>
        <v/>
      </c>
      <c r="J821" s="1480" t="str">
        <f t="shared" si="121"/>
        <v/>
      </c>
      <c r="K821" s="1480" t="str">
        <f t="shared" si="111"/>
        <v/>
      </c>
      <c r="L821" s="906" t="s">
        <v>1506</v>
      </c>
      <c r="M821" s="1480">
        <v>804</v>
      </c>
      <c r="N821" s="1480"/>
      <c r="O821" s="1477"/>
      <c r="P821" s="1477"/>
      <c r="Q821" s="1477"/>
      <c r="R821" s="1480" t="s">
        <v>1550</v>
      </c>
      <c r="S821" s="1477"/>
      <c r="T821" s="1480" t="str">
        <f t="shared" si="120"/>
        <v/>
      </c>
      <c r="U821" s="1477"/>
      <c r="V821" s="1477"/>
      <c r="W821" s="1477"/>
      <c r="X821" s="1477"/>
      <c r="Y821" s="1477"/>
      <c r="Z821" s="1477"/>
    </row>
    <row r="822" spans="1:26" x14ac:dyDescent="0.25">
      <c r="A822" s="932" t="s">
        <v>1507</v>
      </c>
      <c r="B822" s="906" t="str">
        <f t="shared" ca="1" si="122"/>
        <v>T195</v>
      </c>
      <c r="C822" s="906" t="str">
        <f t="shared" ca="1" si="123"/>
        <v>T196</v>
      </c>
      <c r="D822" s="906" t="s">
        <v>1365</v>
      </c>
      <c r="E822" s="906" t="s">
        <v>1535</v>
      </c>
      <c r="F822" s="923" t="s">
        <v>1507</v>
      </c>
      <c r="G822" s="1480" t="str">
        <f>IF(T822&lt;&gt;"","AW","")</f>
        <v/>
      </c>
      <c r="H822" s="1480" t="s">
        <v>2063</v>
      </c>
      <c r="I822" s="1427" t="str">
        <f t="shared" si="110"/>
        <v/>
      </c>
      <c r="J822" s="1480" t="str">
        <f t="shared" si="121"/>
        <v/>
      </c>
      <c r="K822" s="1480" t="str">
        <f t="shared" si="111"/>
        <v/>
      </c>
      <c r="L822" s="906" t="s">
        <v>1507</v>
      </c>
      <c r="M822" s="1480">
        <v>805</v>
      </c>
      <c r="N822" s="1480"/>
      <c r="O822" s="1477"/>
      <c r="P822" s="1477"/>
      <c r="Q822" s="1477"/>
      <c r="R822" s="1480" t="s">
        <v>1550</v>
      </c>
      <c r="S822" s="1477"/>
      <c r="T822" s="1480" t="str">
        <f t="shared" si="120"/>
        <v/>
      </c>
      <c r="U822" s="1477"/>
      <c r="V822" s="1477"/>
      <c r="W822" s="1477"/>
      <c r="X822" s="1477"/>
      <c r="Y822" s="1477"/>
      <c r="Z822" s="1477"/>
    </row>
    <row r="823" spans="1:26"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80" t="s">
        <v>1401</v>
      </c>
      <c r="G823" s="1480" t="str">
        <f>IF(T823&lt;&gt;"","C","")</f>
        <v/>
      </c>
      <c r="H823" s="1480" t="s">
        <v>2063</v>
      </c>
      <c r="I823" s="1427" t="str">
        <f t="shared" si="110"/>
        <v/>
      </c>
      <c r="J823" s="1480"/>
      <c r="K823" s="1480" t="str">
        <f t="shared" si="111"/>
        <v/>
      </c>
      <c r="L823" s="906" t="s">
        <v>1401</v>
      </c>
      <c r="M823" s="1480">
        <v>806</v>
      </c>
      <c r="N823" s="1480"/>
      <c r="O823" s="1477"/>
      <c r="P823" s="1477"/>
      <c r="Q823" s="1477"/>
      <c r="R823" s="1480" t="s">
        <v>1550</v>
      </c>
      <c r="S823" s="1477"/>
      <c r="T823" s="1480" t="str">
        <f t="shared" si="120"/>
        <v/>
      </c>
      <c r="U823" s="1477"/>
      <c r="V823" s="1477"/>
      <c r="W823" s="1477"/>
      <c r="X823" s="1477"/>
      <c r="Y823" s="1477"/>
      <c r="Z823" s="1477"/>
    </row>
    <row r="824" spans="1:26"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80" t="s">
        <v>1402</v>
      </c>
      <c r="G824" s="1480" t="str">
        <f>IF(T824&lt;&gt;"","D","")</f>
        <v/>
      </c>
      <c r="H824" s="1480" t="s">
        <v>2063</v>
      </c>
      <c r="I824" s="1427" t="str">
        <f t="shared" si="110"/>
        <v/>
      </c>
      <c r="J824" s="1480"/>
      <c r="K824" s="1480" t="str">
        <f t="shared" si="111"/>
        <v/>
      </c>
      <c r="L824" s="906" t="s">
        <v>1402</v>
      </c>
      <c r="M824" s="1480">
        <v>807</v>
      </c>
      <c r="N824" s="1480"/>
      <c r="O824" s="1477"/>
      <c r="P824" s="1477"/>
      <c r="Q824" s="1477"/>
      <c r="R824" s="1480" t="s">
        <v>1550</v>
      </c>
      <c r="S824" s="1477"/>
      <c r="T824" s="1480" t="str">
        <f t="shared" si="120"/>
        <v/>
      </c>
      <c r="U824" s="1477"/>
      <c r="V824" s="1477"/>
      <c r="W824" s="1477"/>
      <c r="X824" s="1477"/>
      <c r="Y824" s="1477"/>
      <c r="Z824" s="1477"/>
    </row>
    <row r="825" spans="1:26"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80" t="s">
        <v>1514</v>
      </c>
      <c r="G825" s="1480" t="str">
        <f>IF(T825&lt;&gt;"","AN","")</f>
        <v/>
      </c>
      <c r="H825" s="1480" t="s">
        <v>2063</v>
      </c>
      <c r="I825" s="1427" t="str">
        <f t="shared" si="110"/>
        <v/>
      </c>
      <c r="J825" s="1480" t="str">
        <f t="shared" si="121"/>
        <v/>
      </c>
      <c r="K825" s="1480" t="str">
        <f t="shared" si="111"/>
        <v/>
      </c>
      <c r="L825" s="906" t="s">
        <v>1514</v>
      </c>
      <c r="M825" s="1480">
        <v>808</v>
      </c>
      <c r="N825" s="1480"/>
      <c r="O825" s="1477"/>
      <c r="P825" s="1484" t="str" cm="1">
        <f t="array" aca="1" ref="P825" ca="1">_xlfn.CONCAT("F",RIGHT(B825, LEN(B825) - MAX(IF(ISNUMBER(MID(B825, ROW(INDIRECT("1:"&amp;LEN(B825))), 1) *1)=FALSE, ROW(INDIRECT("1:"&amp;LEN(B825))), 0))))</f>
        <v>F203</v>
      </c>
      <c r="Q825" s="1480" t="str" cm="1">
        <f t="array" aca="1" ref="Q825" ca="1">_xlfn.CONCAT("E",RIGHT(C825, LEN(C825) - MAX(IF(ISNUMBER(MID(C825, ROW(INDIRECT("1:"&amp;LEN(C825))), 1) *1)=FALSE, ROW(INDIRECT("1:"&amp;LEN(C825))), 0))))</f>
        <v>E203</v>
      </c>
      <c r="R825" s="1480" t="s">
        <v>1550</v>
      </c>
      <c r="S825" s="1477"/>
      <c r="T825" s="1480" t="str">
        <f t="shared" si="120"/>
        <v/>
      </c>
      <c r="U825" s="1477"/>
      <c r="V825" s="1477"/>
      <c r="W825" s="1477"/>
      <c r="X825" s="1477"/>
      <c r="Y825" s="1477"/>
      <c r="Z825" s="1477"/>
    </row>
    <row r="826" spans="1:26"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80" t="s">
        <v>1511</v>
      </c>
      <c r="G826" s="1480" t="str">
        <f>IF(T826&lt;&gt;"","AL","")</f>
        <v/>
      </c>
      <c r="H826" s="1480" t="s">
        <v>2063</v>
      </c>
      <c r="I826" s="1427" t="str">
        <f t="shared" si="110"/>
        <v/>
      </c>
      <c r="J826" s="1480" t="str">
        <f t="shared" si="121"/>
        <v/>
      </c>
      <c r="K826" s="1480" t="str">
        <f t="shared" si="111"/>
        <v/>
      </c>
      <c r="L826" s="906" t="s">
        <v>1511</v>
      </c>
      <c r="M826" s="1480">
        <v>809</v>
      </c>
      <c r="N826" s="1480"/>
      <c r="O826" s="1477"/>
      <c r="P826" s="1477"/>
      <c r="Q826" s="1477"/>
      <c r="R826" s="1480" t="s">
        <v>1550</v>
      </c>
      <c r="S826" s="1477"/>
      <c r="T826" s="1480" t="str">
        <f t="shared" si="120"/>
        <v/>
      </c>
      <c r="U826" s="1477"/>
      <c r="V826" s="1477"/>
      <c r="W826" s="1477"/>
      <c r="X826" s="1477"/>
      <c r="Y826" s="1477"/>
      <c r="Z826" s="1477"/>
    </row>
    <row r="827" spans="1:26"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80" t="s">
        <v>2069</v>
      </c>
      <c r="G827" s="1480" t="str">
        <f>IF(T827&lt;&gt;"","L","")</f>
        <v/>
      </c>
      <c r="H827" s="1480" t="s">
        <v>2063</v>
      </c>
      <c r="I827" s="1427" t="str">
        <f t="shared" si="110"/>
        <v/>
      </c>
      <c r="J827" s="1480" t="str">
        <f t="shared" si="121"/>
        <v/>
      </c>
      <c r="K827" s="1480" t="str">
        <f t="shared" si="111"/>
        <v/>
      </c>
      <c r="L827" s="906" t="s">
        <v>1525</v>
      </c>
      <c r="M827" s="1480">
        <v>810</v>
      </c>
      <c r="N827" s="1480"/>
      <c r="O827" s="1477"/>
      <c r="P827" s="1477"/>
      <c r="Q827" s="1477"/>
      <c r="R827" s="1480" t="s">
        <v>1550</v>
      </c>
      <c r="S827" s="1477"/>
      <c r="T827" s="1480" t="str">
        <f t="shared" si="120"/>
        <v/>
      </c>
      <c r="U827" s="1477"/>
      <c r="V827" s="1477"/>
      <c r="W827" s="1477"/>
      <c r="X827" s="1477"/>
      <c r="Y827" s="1477"/>
      <c r="Z827" s="1477"/>
    </row>
    <row r="828" spans="1:26"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80" t="str">
        <f>IF(T828&lt;&gt;"","AH","")</f>
        <v/>
      </c>
      <c r="H828" s="1480" t="s">
        <v>2063</v>
      </c>
      <c r="I828" s="1427" t="str">
        <f t="shared" si="110"/>
        <v/>
      </c>
      <c r="J828" s="1480" t="str">
        <f t="shared" si="121"/>
        <v/>
      </c>
      <c r="K828" s="1480" t="str">
        <f t="shared" si="111"/>
        <v/>
      </c>
      <c r="L828" s="906" t="s">
        <v>1403</v>
      </c>
      <c r="M828" s="1480">
        <v>811</v>
      </c>
      <c r="N828" s="1480"/>
      <c r="O828" s="1477"/>
      <c r="P828" s="1477"/>
      <c r="Q828" s="1477"/>
      <c r="R828" s="1480" t="s">
        <v>1550</v>
      </c>
      <c r="S828" s="1477"/>
      <c r="T828" s="1480" t="str">
        <f t="shared" si="120"/>
        <v/>
      </c>
      <c r="U828" s="1477"/>
      <c r="V828" s="1477"/>
      <c r="W828" s="1477"/>
      <c r="X828" s="1477"/>
      <c r="Y828" s="1477"/>
      <c r="Z828" s="1477"/>
    </row>
    <row r="829" spans="1:26"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80"/>
      <c r="H829" s="1480"/>
      <c r="I829" s="1427" t="str">
        <f t="shared" si="110"/>
        <v/>
      </c>
      <c r="J829" s="1480"/>
      <c r="K829" s="1480" t="str">
        <f t="shared" si="111"/>
        <v/>
      </c>
      <c r="L829" s="906" t="s">
        <v>1404</v>
      </c>
      <c r="M829" s="1480">
        <v>812</v>
      </c>
      <c r="N829" s="1480"/>
      <c r="O829" s="1477"/>
      <c r="P829" s="1477"/>
      <c r="Q829" s="1477"/>
      <c r="R829" s="1480" t="s">
        <v>1550</v>
      </c>
      <c r="S829" s="1477"/>
      <c r="T829" s="1480" t="str">
        <f t="shared" si="120"/>
        <v/>
      </c>
      <c r="U829" s="1477"/>
      <c r="V829" s="1477"/>
      <c r="W829" s="1477"/>
      <c r="X829" s="1477"/>
      <c r="Y829" s="1477"/>
      <c r="Z829" s="1477"/>
    </row>
    <row r="830" spans="1:26"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80" t="s">
        <v>1985</v>
      </c>
      <c r="G830" s="1480" t="str">
        <f>IF(T830&lt;&gt;"","AI","")</f>
        <v/>
      </c>
      <c r="H830" s="1480" t="s">
        <v>2063</v>
      </c>
      <c r="I830" s="1427" t="str">
        <f t="shared" si="110"/>
        <v/>
      </c>
      <c r="J830" s="1480"/>
      <c r="K830" s="1480" t="str">
        <f t="shared" si="111"/>
        <v/>
      </c>
      <c r="L830" s="906" t="s">
        <v>1405</v>
      </c>
      <c r="M830" s="1480">
        <v>813</v>
      </c>
      <c r="N830" s="1480"/>
      <c r="O830" s="1477"/>
      <c r="P830" s="1477"/>
      <c r="Q830" s="1477"/>
      <c r="R830" s="1480" t="s">
        <v>1550</v>
      </c>
      <c r="S830" s="1477"/>
      <c r="T830" s="1480" t="str">
        <f t="shared" si="120"/>
        <v/>
      </c>
      <c r="U830" s="1477"/>
      <c r="V830" s="1477"/>
      <c r="W830" s="1477"/>
      <c r="X830" s="1477"/>
      <c r="Y830" s="1477"/>
      <c r="Z830" s="1477"/>
    </row>
    <row r="831" spans="1:26"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80" t="s">
        <v>1510</v>
      </c>
      <c r="G831" s="1480" t="str">
        <f>IF(T831&lt;&gt;"","A","")</f>
        <v/>
      </c>
      <c r="H831" s="1480" t="s">
        <v>2063</v>
      </c>
      <c r="I831" s="1427" t="str">
        <f t="shared" si="110"/>
        <v/>
      </c>
      <c r="J831" s="1480"/>
      <c r="K831" s="1480" t="str">
        <f t="shared" si="111"/>
        <v/>
      </c>
      <c r="L831" s="906" t="s">
        <v>1510</v>
      </c>
      <c r="M831" s="1480">
        <v>814</v>
      </c>
      <c r="N831" s="1480"/>
      <c r="O831" s="1477" t="s">
        <v>728</v>
      </c>
      <c r="P831" s="1477"/>
      <c r="Q831" s="1477"/>
      <c r="R831" s="1480" t="s">
        <v>1550</v>
      </c>
      <c r="S831" s="1477"/>
      <c r="T831" s="1480" t="str">
        <f t="shared" ref="T831:T844" si="124">IF(Q$832="Yes",15,"")</f>
        <v/>
      </c>
      <c r="U831" s="1477"/>
      <c r="V831" s="1477"/>
      <c r="W831" s="1477"/>
      <c r="X831" s="1477"/>
      <c r="Y831" s="1477"/>
      <c r="Z831" s="1477"/>
    </row>
    <row r="832" spans="1:26"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80"/>
      <c r="G832" s="1480"/>
      <c r="H832" s="1480"/>
      <c r="I832" s="1427" t="str">
        <f t="shared" si="110"/>
        <v/>
      </c>
      <c r="J832" s="1480" t="str">
        <f t="shared" ref="J832:J858" si="125">IF(M832&lt;&gt;"",IF($Q$831="Yes",Q$1&amp;M832,""))</f>
        <v/>
      </c>
      <c r="K832" s="1480" t="str">
        <f t="shared" si="111"/>
        <v/>
      </c>
      <c r="L832" s="906" t="s">
        <v>1724</v>
      </c>
      <c r="M832" s="1480">
        <v>815</v>
      </c>
      <c r="N832" s="1480"/>
      <c r="O832" s="1477">
        <f>'Configurable Tab'!H17</f>
        <v>207</v>
      </c>
      <c r="P832" s="1477"/>
      <c r="Q832" s="1477" t="s">
        <v>651</v>
      </c>
      <c r="R832" s="1480" t="s">
        <v>1550</v>
      </c>
      <c r="S832" s="1445"/>
      <c r="T832" s="1480" t="str">
        <f t="shared" si="124"/>
        <v/>
      </c>
      <c r="U832" s="1477"/>
      <c r="V832" s="1477"/>
      <c r="W832" s="1477"/>
      <c r="X832" s="1477"/>
      <c r="Y832" s="1477"/>
      <c r="Z832" s="1477"/>
    </row>
    <row r="833" spans="1:26"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80" t="s">
        <v>1399</v>
      </c>
      <c r="G833" s="1480" t="str">
        <f>IF(T833&lt;&gt;"","B","")</f>
        <v/>
      </c>
      <c r="H833" s="1480" t="s">
        <v>2063</v>
      </c>
      <c r="I833" s="1427" t="str">
        <f t="shared" si="110"/>
        <v/>
      </c>
      <c r="J833" s="1480"/>
      <c r="K833" s="1480" t="str">
        <f t="shared" si="111"/>
        <v/>
      </c>
      <c r="L833" s="906" t="s">
        <v>1399</v>
      </c>
      <c r="M833" s="1480">
        <v>816</v>
      </c>
      <c r="N833" s="1480"/>
      <c r="O833" s="1477" t="s">
        <v>729</v>
      </c>
      <c r="P833" s="1477"/>
      <c r="Q833" s="1477"/>
      <c r="R833" s="1480" t="s">
        <v>1550</v>
      </c>
      <c r="S833" s="1477"/>
      <c r="T833" s="1480" t="str">
        <f t="shared" si="124"/>
        <v/>
      </c>
      <c r="U833" s="1477"/>
      <c r="V833" s="1477"/>
      <c r="W833" s="1477"/>
      <c r="X833" s="1477"/>
      <c r="Y833" s="1477"/>
      <c r="Z833" s="1477"/>
    </row>
    <row r="834" spans="1:26" x14ac:dyDescent="0.25">
      <c r="A834" s="929" t="s">
        <v>1396</v>
      </c>
      <c r="B834" s="906" t="str">
        <f t="shared" ref="B834:B840" ca="1" si="126">_xlfn.CONCAT(IFERROR(SUBSTITUTE(ADDRESS(1,MATCH(A834,INDIRECT("'"&amp;E834&amp;"'"&amp;"!A" &amp; $O$832 + 2 &amp; ":Z" &amp; $O$832+ 2),0),4),1,""),""),$O$832 + 2)</f>
        <v>H209</v>
      </c>
      <c r="C834" s="906" t="str">
        <f t="shared" ref="C834:C840" ca="1" si="127">_xlfn.CONCAT(IFERROR(SUBSTITUTE(ADDRESS(1,MATCH(A834,INDIRECT("'"&amp;E834&amp;"'"&amp;"!A" &amp; $O$832 + 2 &amp; ":Z" &amp; $O$832+ 2),0),4),1,""),""),$O$832 + 3)</f>
        <v>H210</v>
      </c>
      <c r="D834" s="906" t="s">
        <v>1365</v>
      </c>
      <c r="E834" s="906" t="s">
        <v>1535</v>
      </c>
      <c r="F834" s="1480" t="s">
        <v>2064</v>
      </c>
      <c r="G834" s="1480" t="str">
        <f>IF(T834&lt;&gt;"","E","")</f>
        <v/>
      </c>
      <c r="H834" s="1480" t="s">
        <v>2063</v>
      </c>
      <c r="I834" s="1427" t="str">
        <f t="shared" si="110"/>
        <v/>
      </c>
      <c r="J834" s="1480" t="str">
        <f t="shared" si="125"/>
        <v/>
      </c>
      <c r="K834" s="1480" t="str">
        <f t="shared" si="111"/>
        <v/>
      </c>
      <c r="L834" s="906" t="s">
        <v>1396</v>
      </c>
      <c r="M834" s="1480">
        <v>817</v>
      </c>
      <c r="N834" s="1480"/>
      <c r="O834" s="1477">
        <f>'Configurable Tab'!I17</f>
        <v>222</v>
      </c>
      <c r="P834" s="1477"/>
      <c r="Q834" s="1477"/>
      <c r="R834" s="1480" t="s">
        <v>1550</v>
      </c>
      <c r="S834" s="1477"/>
      <c r="T834" s="1480" t="str">
        <f t="shared" si="124"/>
        <v/>
      </c>
      <c r="U834" s="1477"/>
      <c r="V834" s="1477"/>
      <c r="W834" s="1477"/>
      <c r="X834" s="1477"/>
      <c r="Y834" s="1477"/>
      <c r="Z834" s="1477"/>
    </row>
    <row r="835" spans="1:26" x14ac:dyDescent="0.25">
      <c r="A835" s="929" t="s">
        <v>1397</v>
      </c>
      <c r="B835" s="906" t="str">
        <f t="shared" ca="1" si="126"/>
        <v>J209</v>
      </c>
      <c r="C835" s="906" t="str">
        <f t="shared" ca="1" si="127"/>
        <v>J210</v>
      </c>
      <c r="D835" s="906" t="s">
        <v>1365</v>
      </c>
      <c r="E835" s="906" t="s">
        <v>1535</v>
      </c>
      <c r="F835" s="1480" t="s">
        <v>2065</v>
      </c>
      <c r="G835" s="1480" t="str">
        <f>IF(T835&lt;&gt;"","I","")</f>
        <v/>
      </c>
      <c r="H835" s="1480" t="s">
        <v>2063</v>
      </c>
      <c r="I835" s="1427" t="str">
        <f t="shared" si="110"/>
        <v/>
      </c>
      <c r="J835" s="1480" t="str">
        <f t="shared" si="125"/>
        <v/>
      </c>
      <c r="K835" s="1480" t="str">
        <f t="shared" si="111"/>
        <v/>
      </c>
      <c r="L835" s="906" t="s">
        <v>1397</v>
      </c>
      <c r="M835" s="1480">
        <v>818</v>
      </c>
      <c r="N835" s="1480"/>
      <c r="O835" s="1477" t="s">
        <v>1665</v>
      </c>
      <c r="P835" s="1477"/>
      <c r="Q835" s="1477"/>
      <c r="R835" s="1480" t="s">
        <v>1550</v>
      </c>
      <c r="S835" s="1477"/>
      <c r="T835" s="1480" t="str">
        <f t="shared" si="124"/>
        <v/>
      </c>
      <c r="U835" s="1477"/>
      <c r="V835" s="1477"/>
      <c r="W835" s="1477"/>
      <c r="X835" s="1477"/>
      <c r="Y835" s="1477"/>
      <c r="Z835" s="1477"/>
    </row>
    <row r="836" spans="1:26" x14ac:dyDescent="0.25">
      <c r="A836" s="929" t="s">
        <v>1413</v>
      </c>
      <c r="B836" s="906" t="str">
        <f t="shared" ca="1" si="126"/>
        <v>L209</v>
      </c>
      <c r="C836" s="906" t="str">
        <f t="shared" ca="1" si="127"/>
        <v>L210</v>
      </c>
      <c r="D836" s="906" t="s">
        <v>1365</v>
      </c>
      <c r="E836" s="906" t="s">
        <v>1535</v>
      </c>
      <c r="F836" s="1480" t="s">
        <v>2066</v>
      </c>
      <c r="G836" s="1480" t="str">
        <f>IF(T836&lt;&gt;"","H","")</f>
        <v/>
      </c>
      <c r="H836" s="1480" t="s">
        <v>2063</v>
      </c>
      <c r="I836" s="1427" t="str">
        <f t="shared" ref="I836:I899" si="128">IF(J836&lt;&gt;"",A836,"")</f>
        <v/>
      </c>
      <c r="J836" s="1480" t="str">
        <f t="shared" si="125"/>
        <v/>
      </c>
      <c r="K836" s="1480" t="str">
        <f t="shared" ref="K836:K899" si="129">IF(J836&lt;&gt;"",E836,"")</f>
        <v/>
      </c>
      <c r="L836" s="906" t="s">
        <v>1413</v>
      </c>
      <c r="M836" s="1480">
        <v>819</v>
      </c>
      <c r="N836" s="1480"/>
      <c r="O836" s="1477"/>
      <c r="P836" s="1477"/>
      <c r="Q836" s="1477"/>
      <c r="R836" s="1480" t="s">
        <v>1550</v>
      </c>
      <c r="S836" s="1477"/>
      <c r="T836" s="1480" t="str">
        <f t="shared" si="124"/>
        <v/>
      </c>
      <c r="U836" s="1477"/>
      <c r="V836" s="1477"/>
      <c r="W836" s="1477"/>
      <c r="X836" s="1477"/>
      <c r="Y836" s="1477"/>
      <c r="Z836" s="1477"/>
    </row>
    <row r="837" spans="1:26" x14ac:dyDescent="0.25">
      <c r="A837" s="929" t="s">
        <v>1398</v>
      </c>
      <c r="B837" s="906" t="str">
        <f t="shared" ca="1" si="126"/>
        <v>N209</v>
      </c>
      <c r="C837" s="906" t="str">
        <f t="shared" ca="1" si="127"/>
        <v>N210</v>
      </c>
      <c r="D837" s="906" t="s">
        <v>1365</v>
      </c>
      <c r="E837" s="906" t="s">
        <v>1535</v>
      </c>
      <c r="F837" s="1480" t="s">
        <v>1398</v>
      </c>
      <c r="G837" s="1480" t="str">
        <f>IF(T837&lt;&gt;"",IF(Q835="Credit Memo","J",IF(Q835="Check","K","")),"")</f>
        <v/>
      </c>
      <c r="H837" s="1480" t="s">
        <v>2063</v>
      </c>
      <c r="I837" s="1427" t="str">
        <f t="shared" si="128"/>
        <v/>
      </c>
      <c r="J837" s="1480" t="str">
        <f t="shared" si="125"/>
        <v/>
      </c>
      <c r="K837" s="1480" t="str">
        <f t="shared" si="129"/>
        <v/>
      </c>
      <c r="L837" s="906" t="s">
        <v>1398</v>
      </c>
      <c r="M837" s="1480">
        <v>820</v>
      </c>
      <c r="N837" s="1480"/>
      <c r="O837" s="1477"/>
      <c r="P837" s="1477"/>
      <c r="Q837" s="1477"/>
      <c r="R837" s="1480" t="s">
        <v>1550</v>
      </c>
      <c r="S837" s="1477"/>
      <c r="T837" s="1480" t="str">
        <f t="shared" si="124"/>
        <v/>
      </c>
      <c r="U837" s="1477"/>
      <c r="V837" s="1477"/>
      <c r="W837" s="1477"/>
      <c r="X837" s="1477"/>
      <c r="Y837" s="1477"/>
      <c r="Z837" s="1477"/>
    </row>
    <row r="838" spans="1:26" x14ac:dyDescent="0.25">
      <c r="A838" s="929" t="s">
        <v>1505</v>
      </c>
      <c r="B838" s="906" t="str">
        <f t="shared" ca="1" si="126"/>
        <v>P209</v>
      </c>
      <c r="C838" s="906" t="str">
        <f t="shared" ca="1" si="127"/>
        <v>P210</v>
      </c>
      <c r="D838" s="906" t="s">
        <v>1365</v>
      </c>
      <c r="E838" s="906" t="s">
        <v>1535</v>
      </c>
      <c r="F838" s="1480" t="s">
        <v>2067</v>
      </c>
      <c r="G838" s="1480" t="str">
        <f>IF(T838&lt;&gt;"","F","")</f>
        <v/>
      </c>
      <c r="H838" s="1480" t="s">
        <v>2063</v>
      </c>
      <c r="I838" s="1427" t="str">
        <f t="shared" si="128"/>
        <v/>
      </c>
      <c r="J838" s="1480" t="str">
        <f t="shared" si="125"/>
        <v/>
      </c>
      <c r="K838" s="1480" t="str">
        <f t="shared" si="129"/>
        <v/>
      </c>
      <c r="L838" s="906" t="s">
        <v>1505</v>
      </c>
      <c r="M838" s="1480">
        <v>821</v>
      </c>
      <c r="N838" s="1480"/>
      <c r="O838" s="1477"/>
      <c r="P838" s="1477"/>
      <c r="Q838" s="1477"/>
      <c r="R838" s="1480" t="s">
        <v>1550</v>
      </c>
      <c r="S838" s="1477"/>
      <c r="T838" s="1480" t="str">
        <f t="shared" si="124"/>
        <v/>
      </c>
      <c r="U838" s="1477"/>
      <c r="V838" s="1477"/>
      <c r="W838" s="1477"/>
      <c r="X838" s="1477"/>
      <c r="Y838" s="1477"/>
      <c r="Z838" s="1477"/>
    </row>
    <row r="839" spans="1:26" x14ac:dyDescent="0.25">
      <c r="A839" s="929" t="s">
        <v>1506</v>
      </c>
      <c r="B839" s="906" t="str">
        <f t="shared" ca="1" si="126"/>
        <v>R209</v>
      </c>
      <c r="C839" s="906" t="str">
        <f t="shared" ca="1" si="127"/>
        <v>R210</v>
      </c>
      <c r="D839" s="906" t="s">
        <v>1365</v>
      </c>
      <c r="E839" s="906" t="s">
        <v>1535</v>
      </c>
      <c r="F839" s="1480" t="s">
        <v>2068</v>
      </c>
      <c r="G839" s="1480" t="str">
        <f>IF(T839&lt;&gt;"","G","")</f>
        <v/>
      </c>
      <c r="H839" s="1480" t="s">
        <v>2063</v>
      </c>
      <c r="I839" s="1427" t="str">
        <f t="shared" si="128"/>
        <v/>
      </c>
      <c r="J839" s="1480" t="str">
        <f t="shared" si="125"/>
        <v/>
      </c>
      <c r="K839" s="1480" t="str">
        <f t="shared" si="129"/>
        <v/>
      </c>
      <c r="L839" s="906" t="s">
        <v>1506</v>
      </c>
      <c r="M839" s="1480">
        <v>822</v>
      </c>
      <c r="N839" s="1480"/>
      <c r="O839" s="1477"/>
      <c r="P839" s="1477"/>
      <c r="Q839" s="1477"/>
      <c r="R839" s="1480" t="s">
        <v>1550</v>
      </c>
      <c r="S839" s="1477"/>
      <c r="T839" s="1480" t="str">
        <f t="shared" si="124"/>
        <v/>
      </c>
      <c r="U839" s="1477"/>
      <c r="V839" s="1477"/>
      <c r="W839" s="1477"/>
      <c r="X839" s="1477"/>
      <c r="Y839" s="1477"/>
      <c r="Z839" s="1477"/>
    </row>
    <row r="840" spans="1:26" x14ac:dyDescent="0.25">
      <c r="A840" s="929" t="s">
        <v>1507</v>
      </c>
      <c r="B840" s="906" t="str">
        <f t="shared" ca="1" si="126"/>
        <v>T209</v>
      </c>
      <c r="C840" s="906" t="str">
        <f t="shared" ca="1" si="127"/>
        <v>T210</v>
      </c>
      <c r="D840" s="906" t="s">
        <v>1365</v>
      </c>
      <c r="E840" s="906" t="s">
        <v>1535</v>
      </c>
      <c r="F840" s="923" t="s">
        <v>1507</v>
      </c>
      <c r="G840" s="1480" t="str">
        <f>IF(T840&lt;&gt;"","AW","")</f>
        <v/>
      </c>
      <c r="H840" s="1480" t="s">
        <v>2063</v>
      </c>
      <c r="I840" s="1427" t="str">
        <f t="shared" si="128"/>
        <v/>
      </c>
      <c r="J840" s="1480" t="str">
        <f t="shared" si="125"/>
        <v/>
      </c>
      <c r="K840" s="1480" t="str">
        <f t="shared" si="129"/>
        <v/>
      </c>
      <c r="L840" s="906" t="s">
        <v>1507</v>
      </c>
      <c r="M840" s="1480">
        <v>823</v>
      </c>
      <c r="N840" s="1480"/>
      <c r="O840" s="1477"/>
      <c r="P840" s="1477"/>
      <c r="Q840" s="1477"/>
      <c r="R840" s="1480" t="s">
        <v>1550</v>
      </c>
      <c r="S840" s="1477"/>
      <c r="T840" s="1480" t="str">
        <f t="shared" si="124"/>
        <v/>
      </c>
      <c r="U840" s="1477"/>
      <c r="V840" s="1477"/>
      <c r="W840" s="1477"/>
      <c r="X840" s="1477"/>
      <c r="Y840" s="1477"/>
      <c r="Z840" s="1477"/>
    </row>
    <row r="841" spans="1:26"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80" t="s">
        <v>1401</v>
      </c>
      <c r="G841" s="1480" t="str">
        <f>IF(T841&lt;&gt;"","C","")</f>
        <v/>
      </c>
      <c r="H841" s="1480" t="s">
        <v>2063</v>
      </c>
      <c r="I841" s="1427" t="str">
        <f t="shared" si="128"/>
        <v/>
      </c>
      <c r="J841" s="1480"/>
      <c r="K841" s="1480" t="str">
        <f t="shared" si="129"/>
        <v/>
      </c>
      <c r="L841" s="906" t="s">
        <v>1401</v>
      </c>
      <c r="M841" s="1480">
        <v>824</v>
      </c>
      <c r="N841" s="1480"/>
      <c r="O841" s="1477"/>
      <c r="P841" s="1477"/>
      <c r="Q841" s="1477"/>
      <c r="R841" s="1480" t="s">
        <v>1550</v>
      </c>
      <c r="S841" s="1477"/>
      <c r="T841" s="1480" t="str">
        <f t="shared" si="124"/>
        <v/>
      </c>
      <c r="U841" s="1477"/>
      <c r="V841" s="1477"/>
      <c r="W841" s="1477"/>
      <c r="X841" s="1477"/>
      <c r="Y841" s="1477"/>
      <c r="Z841" s="1477"/>
    </row>
    <row r="842" spans="1:26"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80" t="s">
        <v>1402</v>
      </c>
      <c r="G842" s="1480" t="str">
        <f>IF(T842&lt;&gt;"","D","")</f>
        <v/>
      </c>
      <c r="H842" s="1480" t="s">
        <v>2063</v>
      </c>
      <c r="I842" s="1427" t="str">
        <f t="shared" si="128"/>
        <v/>
      </c>
      <c r="J842" s="1480"/>
      <c r="K842" s="1480" t="str">
        <f t="shared" si="129"/>
        <v/>
      </c>
      <c r="L842" s="906" t="s">
        <v>1402</v>
      </c>
      <c r="M842" s="1480">
        <v>825</v>
      </c>
      <c r="N842" s="1480"/>
      <c r="O842" s="1477"/>
      <c r="P842" s="1477"/>
      <c r="Q842" s="1477"/>
      <c r="R842" s="1480" t="s">
        <v>1550</v>
      </c>
      <c r="S842" s="1477"/>
      <c r="T842" s="1480" t="str">
        <f t="shared" si="124"/>
        <v/>
      </c>
      <c r="U842" s="1477"/>
      <c r="V842" s="1477"/>
      <c r="W842" s="1477"/>
      <c r="X842" s="1477"/>
      <c r="Y842" s="1477"/>
      <c r="Z842" s="1477"/>
    </row>
    <row r="843" spans="1:26"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80" t="s">
        <v>1514</v>
      </c>
      <c r="G843" s="1480" t="str">
        <f>IF(T843&lt;&gt;"","AN","")</f>
        <v/>
      </c>
      <c r="H843" s="1480" t="s">
        <v>2063</v>
      </c>
      <c r="I843" s="1427" t="str">
        <f t="shared" si="128"/>
        <v/>
      </c>
      <c r="J843" s="1480" t="str">
        <f t="shared" si="125"/>
        <v/>
      </c>
      <c r="K843" s="1480" t="str">
        <f t="shared" si="129"/>
        <v/>
      </c>
      <c r="L843" s="906" t="s">
        <v>1514</v>
      </c>
      <c r="M843" s="1480">
        <v>826</v>
      </c>
      <c r="N843" s="1480"/>
      <c r="O843" s="1477"/>
      <c r="P843" s="1484" t="str" cm="1">
        <f t="array" aca="1" ref="P843" ca="1">_xlfn.CONCAT("F",RIGHT(B843, LEN(B843) - MAX(IF(ISNUMBER(MID(B843, ROW(INDIRECT("1:"&amp;LEN(B843))), 1) *1)=FALSE, ROW(INDIRECT("1:"&amp;LEN(B843))), 0))))</f>
        <v>F219</v>
      </c>
      <c r="Q843" s="1480" t="str" cm="1">
        <f t="array" aca="1" ref="Q843" ca="1">_xlfn.CONCAT("E",RIGHT(C843, LEN(C843) - MAX(IF(ISNUMBER(MID(C843, ROW(INDIRECT("1:"&amp;LEN(C843))), 1) *1)=FALSE, ROW(INDIRECT("1:"&amp;LEN(C843))), 0))))</f>
        <v>E219</v>
      </c>
      <c r="R843" s="1480" t="s">
        <v>1550</v>
      </c>
      <c r="S843" s="1477"/>
      <c r="T843" s="1480" t="str">
        <f t="shared" si="124"/>
        <v/>
      </c>
      <c r="U843" s="1477"/>
      <c r="V843" s="1477"/>
      <c r="W843" s="1477"/>
      <c r="X843" s="1477"/>
      <c r="Y843" s="1477"/>
      <c r="Z843" s="1477"/>
    </row>
    <row r="844" spans="1:26"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80" t="s">
        <v>1511</v>
      </c>
      <c r="G844" s="1480" t="str">
        <f>IF(T844&lt;&gt;"","AL","")</f>
        <v/>
      </c>
      <c r="H844" s="1480" t="s">
        <v>2063</v>
      </c>
      <c r="I844" s="1427" t="str">
        <f t="shared" si="128"/>
        <v/>
      </c>
      <c r="J844" s="1480" t="str">
        <f t="shared" si="125"/>
        <v/>
      </c>
      <c r="K844" s="1480" t="str">
        <f t="shared" si="129"/>
        <v/>
      </c>
      <c r="L844" s="906" t="s">
        <v>1511</v>
      </c>
      <c r="M844" s="1480">
        <v>827</v>
      </c>
      <c r="N844" s="1480"/>
      <c r="O844" s="1477"/>
      <c r="P844" s="1477"/>
      <c r="Q844" s="1477"/>
      <c r="R844" s="1480" t="s">
        <v>1550</v>
      </c>
      <c r="S844" s="1477"/>
      <c r="T844" s="1480" t="str">
        <f t="shared" si="124"/>
        <v/>
      </c>
      <c r="U844" s="1477"/>
      <c r="V844" s="1477"/>
      <c r="W844" s="1477"/>
      <c r="X844" s="1477"/>
      <c r="Y844" s="1477"/>
      <c r="Z844" s="1477"/>
    </row>
    <row r="845" spans="1:26"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80" t="s">
        <v>2069</v>
      </c>
      <c r="G845" s="1480" t="str">
        <f>IF(T845&lt;&gt;"","L","")</f>
        <v/>
      </c>
      <c r="H845" s="1480" t="s">
        <v>2063</v>
      </c>
      <c r="I845" s="1427" t="str">
        <f t="shared" si="128"/>
        <v/>
      </c>
      <c r="J845" s="1480" t="str">
        <f t="shared" si="125"/>
        <v/>
      </c>
      <c r="K845" s="1480" t="str">
        <f t="shared" si="129"/>
        <v/>
      </c>
      <c r="L845" s="906" t="s">
        <v>1525</v>
      </c>
      <c r="M845" s="1480">
        <v>828</v>
      </c>
      <c r="N845" s="1480"/>
      <c r="O845" s="1477"/>
      <c r="P845" s="1477"/>
      <c r="Q845" s="1477"/>
      <c r="R845" s="1480" t="s">
        <v>1550</v>
      </c>
      <c r="S845" s="1477"/>
      <c r="T845" s="1480" t="str">
        <f>IF(Q$832="Yes",15,"")</f>
        <v/>
      </c>
      <c r="U845" s="1477"/>
      <c r="V845" s="1477"/>
      <c r="W845" s="1477"/>
      <c r="X845" s="1477"/>
      <c r="Y845" s="1477"/>
      <c r="Z845" s="1477"/>
    </row>
    <row r="846" spans="1:26" x14ac:dyDescent="0.25">
      <c r="A846" s="929" t="s">
        <v>1403</v>
      </c>
      <c r="B846" s="906" t="str">
        <f ca="1">_xlfn.IFNA(_xlfn.CONCAT(SUBSTITUTE(ADDRESS(1,MATCH(A846,INDIRECT("'"&amp;E846&amp;"'"&amp;"!A" &amp; $O$832 + 5 &amp; ":Z" &amp; $O$832+ 5),0),4),1,""),$O$832 + 6),"")</f>
        <v>H213</v>
      </c>
      <c r="C846" s="906" t="str">
        <f t="shared" ref="C846:C860" ca="1" si="130">_xlfn.IFNA(SUBSTITUTE(ADDRESS(1,MATCH(A846,INDIRECT("'"&amp;E846&amp;"'"&amp;"!A" &amp; $O$832 + 5 &amp; ":Z" &amp; $O$832+ 5),0),4),1,""),"")</f>
        <v>H</v>
      </c>
      <c r="D846" s="906" t="s">
        <v>1372</v>
      </c>
      <c r="E846" s="906" t="s">
        <v>1535</v>
      </c>
      <c r="F846" s="923"/>
      <c r="G846" s="1480"/>
      <c r="H846" s="1480"/>
      <c r="I846" s="1427" t="str">
        <f t="shared" si="128"/>
        <v/>
      </c>
      <c r="J846" s="1480" t="str">
        <f t="shared" si="125"/>
        <v/>
      </c>
      <c r="K846" s="1480" t="str">
        <f t="shared" si="129"/>
        <v/>
      </c>
      <c r="L846" s="906" t="s">
        <v>1403</v>
      </c>
      <c r="M846" s="1480">
        <v>829</v>
      </c>
      <c r="N846" s="1480"/>
      <c r="O846" s="1477"/>
      <c r="P846" s="1477"/>
      <c r="Q846" s="1477"/>
      <c r="R846" s="1480" t="s">
        <v>1550</v>
      </c>
      <c r="S846" s="1477"/>
      <c r="T846" s="1480" t="str">
        <f t="shared" ref="T846:T860" si="131">IF(Q$832="Yes",15,"")</f>
        <v/>
      </c>
      <c r="U846" s="1477"/>
      <c r="V846" s="1477"/>
      <c r="W846" s="1477"/>
      <c r="X846" s="1477"/>
      <c r="Y846" s="1477"/>
      <c r="Z846" s="1477"/>
    </row>
    <row r="847" spans="1:26" x14ac:dyDescent="0.25">
      <c r="A847" s="929" t="s">
        <v>1404</v>
      </c>
      <c r="B847" s="906" t="str">
        <f ca="1">_xlfn.IFNA(_xlfn.CONCAT(SUBSTITUTE(ADDRESS(1,MATCH(A847,INDIRECT("'"&amp;E847&amp;"'"&amp;"!A" &amp; $O$832 + 5 &amp; ":Z" &amp; $O$832+ 5),0),4),1,""),$O$832 + 6),"")</f>
        <v>J213</v>
      </c>
      <c r="C847" s="906" t="str">
        <f t="shared" ca="1" si="130"/>
        <v>J</v>
      </c>
      <c r="D847" s="906" t="s">
        <v>1372</v>
      </c>
      <c r="E847" s="906" t="s">
        <v>1535</v>
      </c>
      <c r="F847" s="923"/>
      <c r="G847" s="1480"/>
      <c r="H847" s="1480"/>
      <c r="I847" s="1427" t="str">
        <f t="shared" si="128"/>
        <v/>
      </c>
      <c r="J847" s="1480"/>
      <c r="K847" s="1480" t="str">
        <f t="shared" si="129"/>
        <v/>
      </c>
      <c r="L847" s="906" t="s">
        <v>1404</v>
      </c>
      <c r="M847" s="1480">
        <v>830</v>
      </c>
      <c r="N847" s="1480"/>
      <c r="O847" s="1477"/>
      <c r="P847" s="1477"/>
      <c r="Q847" s="1477"/>
      <c r="R847" s="1480" t="s">
        <v>1550</v>
      </c>
      <c r="S847" s="1477"/>
      <c r="T847" s="1480" t="str">
        <f t="shared" si="131"/>
        <v/>
      </c>
      <c r="U847" s="1477"/>
      <c r="V847" s="1477"/>
      <c r="W847" s="1477"/>
      <c r="X847" s="1477"/>
      <c r="Y847" s="1477"/>
      <c r="Z847" s="1477"/>
    </row>
    <row r="848" spans="1:26" x14ac:dyDescent="0.25">
      <c r="A848" s="929" t="s">
        <v>1405</v>
      </c>
      <c r="B848" s="906" t="str">
        <f ca="1">_xlfn.IFNA(_xlfn.CONCAT(SUBSTITUTE(ADDRESS(1,MATCH(A848,INDIRECT("'"&amp;E848&amp;"'"&amp;"!A" &amp; $O$832 + 5 &amp; ":Z" &amp; $O$832+ 5),0),4),1,""),$O$832 + 6),"")</f>
        <v>L213</v>
      </c>
      <c r="C848" s="906" t="str">
        <f t="shared" ca="1" si="130"/>
        <v>L</v>
      </c>
      <c r="D848" s="906" t="s">
        <v>1372</v>
      </c>
      <c r="E848" s="906" t="s">
        <v>1535</v>
      </c>
      <c r="F848" s="1192"/>
      <c r="G848" s="1480"/>
      <c r="H848" s="1480"/>
      <c r="I848" s="1427" t="str">
        <f t="shared" si="128"/>
        <v/>
      </c>
      <c r="J848" s="1480"/>
      <c r="K848" s="1480" t="str">
        <f t="shared" si="129"/>
        <v/>
      </c>
      <c r="L848" s="906" t="s">
        <v>1405</v>
      </c>
      <c r="M848" s="1480">
        <v>831</v>
      </c>
      <c r="N848" s="1480"/>
      <c r="O848" s="1477"/>
      <c r="P848" s="1477"/>
      <c r="Q848" s="1477"/>
      <c r="R848" s="1480" t="s">
        <v>1550</v>
      </c>
      <c r="S848" s="1477"/>
      <c r="T848" s="1480" t="str">
        <f t="shared" si="131"/>
        <v/>
      </c>
      <c r="U848" s="1477"/>
      <c r="V848" s="1477"/>
      <c r="W848" s="1477"/>
      <c r="X848" s="1477"/>
      <c r="Y848" s="1477"/>
      <c r="Z848" s="1477"/>
    </row>
    <row r="849" spans="1:26" x14ac:dyDescent="0.25">
      <c r="A849" s="929" t="s">
        <v>1403</v>
      </c>
      <c r="B849" s="906" t="str">
        <f ca="1">_xlfn.IFNA(_xlfn.CONCAT(SUBSTITUTE(ADDRESS(1,MATCH(A849,INDIRECT("'"&amp;E849&amp;"'"&amp;"!A" &amp; $O$832 + 5 &amp; ":Z" &amp; $O$832+ 5),0),4),1,""),$O$832 + 7),"")</f>
        <v>H214</v>
      </c>
      <c r="C849" s="906" t="str">
        <f t="shared" ca="1" si="130"/>
        <v>H</v>
      </c>
      <c r="D849" s="906" t="s">
        <v>1372</v>
      </c>
      <c r="E849" s="906" t="s">
        <v>1535</v>
      </c>
      <c r="F849" s="1480"/>
      <c r="G849" s="1480"/>
      <c r="H849" s="1480"/>
      <c r="I849" s="1427" t="str">
        <f t="shared" si="128"/>
        <v/>
      </c>
      <c r="J849" s="1480" t="str">
        <f t="shared" si="125"/>
        <v/>
      </c>
      <c r="K849" s="1480" t="str">
        <f t="shared" si="129"/>
        <v/>
      </c>
      <c r="L849" s="906" t="s">
        <v>1403</v>
      </c>
      <c r="M849" s="1480">
        <v>832</v>
      </c>
      <c r="N849" s="1480"/>
      <c r="O849" s="1477"/>
      <c r="P849" s="1477"/>
      <c r="Q849" s="1477"/>
      <c r="R849" s="1480" t="s">
        <v>1550</v>
      </c>
      <c r="S849" s="1477"/>
      <c r="T849" s="1480" t="str">
        <f t="shared" si="131"/>
        <v/>
      </c>
      <c r="U849" s="1477"/>
      <c r="V849" s="1477"/>
      <c r="W849" s="1477"/>
      <c r="X849" s="1477"/>
      <c r="Y849" s="1477"/>
      <c r="Z849" s="1477"/>
    </row>
    <row r="850" spans="1:26" x14ac:dyDescent="0.25">
      <c r="A850" s="929" t="s">
        <v>1404</v>
      </c>
      <c r="B850" s="906" t="str">
        <f ca="1">_xlfn.IFNA(_xlfn.CONCAT(SUBSTITUTE(ADDRESS(1,MATCH(A850,INDIRECT("'"&amp;E850&amp;"'"&amp;"!A" &amp; $O$832 + 5 &amp; ":Z" &amp; $O$832+ 5),0),4),1,""),$O$832 + 7),"")</f>
        <v>J214</v>
      </c>
      <c r="C850" s="906" t="str">
        <f t="shared" ca="1" si="130"/>
        <v>J</v>
      </c>
      <c r="D850" s="906" t="s">
        <v>1372</v>
      </c>
      <c r="E850" s="906" t="s">
        <v>1535</v>
      </c>
      <c r="F850" s="1480"/>
      <c r="G850" s="1480"/>
      <c r="H850" s="1480"/>
      <c r="I850" s="1427" t="str">
        <f t="shared" si="128"/>
        <v/>
      </c>
      <c r="J850" s="1480"/>
      <c r="K850" s="1480" t="str">
        <f t="shared" si="129"/>
        <v/>
      </c>
      <c r="L850" s="906" t="s">
        <v>1404</v>
      </c>
      <c r="M850" s="1480">
        <v>833</v>
      </c>
      <c r="N850" s="1480"/>
      <c r="O850" s="1477"/>
      <c r="P850" s="1477"/>
      <c r="Q850" s="1477"/>
      <c r="R850" s="1480" t="s">
        <v>1550</v>
      </c>
      <c r="S850" s="1477"/>
      <c r="T850" s="1480" t="str">
        <f t="shared" si="131"/>
        <v/>
      </c>
      <c r="U850" s="1477"/>
      <c r="V850" s="1477"/>
      <c r="W850" s="1477"/>
      <c r="X850" s="1477"/>
      <c r="Y850" s="1477"/>
      <c r="Z850" s="1477"/>
    </row>
    <row r="851" spans="1:26" x14ac:dyDescent="0.25">
      <c r="A851" s="929" t="s">
        <v>1405</v>
      </c>
      <c r="B851" s="906" t="str">
        <f ca="1">_xlfn.IFNA(_xlfn.CONCAT(SUBSTITUTE(ADDRESS(1,MATCH(A851,INDIRECT("'"&amp;E851&amp;"'"&amp;"!A" &amp; $O$832 + 5 &amp; ":Z" &amp; $O$832+ 5),0),4),1,""),$O$832 + 7),"")</f>
        <v>L214</v>
      </c>
      <c r="C851" s="906" t="str">
        <f t="shared" ca="1" si="130"/>
        <v>L</v>
      </c>
      <c r="D851" s="906" t="s">
        <v>1372</v>
      </c>
      <c r="E851" s="906" t="s">
        <v>1535</v>
      </c>
      <c r="F851" s="1480"/>
      <c r="G851" s="1480"/>
      <c r="H851" s="1480"/>
      <c r="I851" s="1427" t="str">
        <f t="shared" si="128"/>
        <v/>
      </c>
      <c r="J851" s="1480"/>
      <c r="K851" s="1480" t="str">
        <f t="shared" si="129"/>
        <v/>
      </c>
      <c r="L851" s="906" t="s">
        <v>1405</v>
      </c>
      <c r="M851" s="1480">
        <v>834</v>
      </c>
      <c r="N851" s="1480"/>
      <c r="O851" s="1477"/>
      <c r="P851" s="1477"/>
      <c r="Q851" s="1477"/>
      <c r="R851" s="1480" t="s">
        <v>1550</v>
      </c>
      <c r="S851" s="1477"/>
      <c r="T851" s="1480" t="str">
        <f t="shared" si="131"/>
        <v/>
      </c>
      <c r="U851" s="1477"/>
      <c r="V851" s="1477"/>
      <c r="W851" s="1477"/>
      <c r="X851" s="1477"/>
      <c r="Y851" s="1477"/>
      <c r="Z851" s="1477"/>
    </row>
    <row r="852" spans="1:26" x14ac:dyDescent="0.25">
      <c r="A852" s="929" t="s">
        <v>1403</v>
      </c>
      <c r="B852" s="906" t="str">
        <f ca="1">_xlfn.IFNA(_xlfn.CONCAT(SUBSTITUTE(ADDRESS(1,MATCH(A852,INDIRECT("'"&amp;E852&amp;"'"&amp;"!A" &amp; $O$832 + 5 &amp; ":Z" &amp; $O$832+ 5),0),4),1,""),$O$832 + 8),"")</f>
        <v>H215</v>
      </c>
      <c r="C852" s="906" t="str">
        <f t="shared" ca="1" si="130"/>
        <v>H</v>
      </c>
      <c r="D852" s="906" t="s">
        <v>1372</v>
      </c>
      <c r="E852" s="906" t="s">
        <v>1535</v>
      </c>
      <c r="F852" s="1480"/>
      <c r="G852" s="1480"/>
      <c r="H852" s="1480"/>
      <c r="I852" s="1427" t="str">
        <f t="shared" si="128"/>
        <v/>
      </c>
      <c r="J852" s="1480" t="str">
        <f t="shared" si="125"/>
        <v/>
      </c>
      <c r="K852" s="1480" t="str">
        <f t="shared" si="129"/>
        <v/>
      </c>
      <c r="L852" s="906" t="s">
        <v>1403</v>
      </c>
      <c r="M852" s="1480">
        <v>835</v>
      </c>
      <c r="N852" s="1480"/>
      <c r="O852" s="1477"/>
      <c r="P852" s="1477"/>
      <c r="Q852" s="1477"/>
      <c r="R852" s="1480" t="s">
        <v>1550</v>
      </c>
      <c r="S852" s="1477"/>
      <c r="T852" s="1480" t="str">
        <f t="shared" si="131"/>
        <v/>
      </c>
      <c r="U852" s="1477"/>
      <c r="V852" s="1477"/>
      <c r="W852" s="1477"/>
      <c r="X852" s="1477"/>
      <c r="Y852" s="1477"/>
      <c r="Z852" s="1477"/>
    </row>
    <row r="853" spans="1:26" x14ac:dyDescent="0.25">
      <c r="A853" s="929" t="s">
        <v>1404</v>
      </c>
      <c r="B853" s="906" t="str">
        <f ca="1">_xlfn.IFNA(_xlfn.CONCAT(SUBSTITUTE(ADDRESS(1,MATCH(A853,INDIRECT("'"&amp;E853&amp;"'"&amp;"!A" &amp; $O$832 + 5 &amp; ":Z" &amp; $O$832+ 5),0),4),1,""),$O$832 + 8),"")</f>
        <v>J215</v>
      </c>
      <c r="C853" s="906" t="str">
        <f t="shared" ca="1" si="130"/>
        <v>J</v>
      </c>
      <c r="D853" s="906" t="s">
        <v>1372</v>
      </c>
      <c r="E853" s="906" t="s">
        <v>1535</v>
      </c>
      <c r="F853" s="1480"/>
      <c r="G853" s="1480"/>
      <c r="H853" s="1480"/>
      <c r="I853" s="1427" t="str">
        <f t="shared" si="128"/>
        <v/>
      </c>
      <c r="J853" s="1480"/>
      <c r="K853" s="1480" t="str">
        <f t="shared" si="129"/>
        <v/>
      </c>
      <c r="L853" s="906" t="s">
        <v>1404</v>
      </c>
      <c r="M853" s="1480">
        <v>836</v>
      </c>
      <c r="N853" s="1480"/>
      <c r="O853" s="1477"/>
      <c r="P853" s="1477"/>
      <c r="Q853" s="1477"/>
      <c r="R853" s="1480" t="s">
        <v>1550</v>
      </c>
      <c r="S853" s="1477"/>
      <c r="T853" s="1480" t="str">
        <f t="shared" si="131"/>
        <v/>
      </c>
      <c r="U853" s="1477"/>
      <c r="V853" s="1477"/>
      <c r="W853" s="1477"/>
      <c r="X853" s="1477"/>
      <c r="Y853" s="1477"/>
      <c r="Z853" s="1477"/>
    </row>
    <row r="854" spans="1:26" x14ac:dyDescent="0.25">
      <c r="A854" s="929" t="s">
        <v>1405</v>
      </c>
      <c r="B854" s="906" t="str">
        <f ca="1">_xlfn.IFNA(_xlfn.CONCAT(SUBSTITUTE(ADDRESS(1,MATCH(A854,INDIRECT("'"&amp;E854&amp;"'"&amp;"!A" &amp; $O$832 + 5 &amp; ":Z" &amp; $O$832+ 5),0),4),1,""),$O$832 + 8),"")</f>
        <v>L215</v>
      </c>
      <c r="C854" s="906" t="str">
        <f t="shared" ca="1" si="130"/>
        <v>L</v>
      </c>
      <c r="D854" s="906" t="s">
        <v>1372</v>
      </c>
      <c r="E854" s="906" t="s">
        <v>1535</v>
      </c>
      <c r="F854" s="1480"/>
      <c r="G854" s="1480"/>
      <c r="H854" s="1480"/>
      <c r="I854" s="1427" t="str">
        <f t="shared" si="128"/>
        <v/>
      </c>
      <c r="J854" s="1480"/>
      <c r="K854" s="1480" t="str">
        <f t="shared" si="129"/>
        <v/>
      </c>
      <c r="L854" s="906" t="s">
        <v>1405</v>
      </c>
      <c r="M854" s="1480">
        <v>837</v>
      </c>
      <c r="N854" s="1480"/>
      <c r="O854" s="1477"/>
      <c r="P854" s="1477"/>
      <c r="Q854" s="1477"/>
      <c r="R854" s="1480" t="s">
        <v>1550</v>
      </c>
      <c r="S854" s="1477"/>
      <c r="T854" s="1480" t="str">
        <f t="shared" si="131"/>
        <v/>
      </c>
      <c r="U854" s="1477"/>
      <c r="V854" s="1477"/>
      <c r="W854" s="1477"/>
      <c r="X854" s="1477"/>
      <c r="Y854" s="1477"/>
      <c r="Z854" s="1477"/>
    </row>
    <row r="855" spans="1:26" x14ac:dyDescent="0.25">
      <c r="A855" s="929" t="s">
        <v>1403</v>
      </c>
      <c r="B855" s="906" t="str">
        <f ca="1">_xlfn.IFNA(_xlfn.CONCAT(SUBSTITUTE(ADDRESS(1,MATCH(A855,INDIRECT("'"&amp;E855&amp;"'"&amp;"!A" &amp; $O$832 + 5 &amp; ":Z" &amp; $O$832+ 5),0),4),1,""),$O$832 + 9),"")</f>
        <v>H216</v>
      </c>
      <c r="C855" s="906" t="str">
        <f t="shared" ca="1" si="130"/>
        <v>H</v>
      </c>
      <c r="D855" s="906" t="s">
        <v>1372</v>
      </c>
      <c r="E855" s="906" t="s">
        <v>1535</v>
      </c>
      <c r="F855" s="1480"/>
      <c r="G855" s="1480"/>
      <c r="H855" s="1480"/>
      <c r="I855" s="1427" t="str">
        <f t="shared" si="128"/>
        <v/>
      </c>
      <c r="J855" s="1480" t="str">
        <f t="shared" si="125"/>
        <v/>
      </c>
      <c r="K855" s="1480" t="str">
        <f t="shared" si="129"/>
        <v/>
      </c>
      <c r="L855" s="906" t="s">
        <v>1403</v>
      </c>
      <c r="M855" s="1480">
        <v>838</v>
      </c>
      <c r="N855" s="1480"/>
      <c r="O855" s="1477"/>
      <c r="P855" s="1477"/>
      <c r="Q855" s="1477"/>
      <c r="R855" s="1480" t="s">
        <v>1550</v>
      </c>
      <c r="S855" s="1477"/>
      <c r="T855" s="1480" t="str">
        <f t="shared" si="131"/>
        <v/>
      </c>
      <c r="U855" s="1477"/>
      <c r="V855" s="1477"/>
      <c r="W855" s="1477"/>
      <c r="X855" s="1477"/>
      <c r="Y855" s="1477"/>
      <c r="Z855" s="1477"/>
    </row>
    <row r="856" spans="1:26" x14ac:dyDescent="0.25">
      <c r="A856" s="929" t="s">
        <v>1404</v>
      </c>
      <c r="B856" s="906" t="str">
        <f ca="1">_xlfn.IFNA(_xlfn.CONCAT(SUBSTITUTE(ADDRESS(1,MATCH(A856,INDIRECT("'"&amp;E856&amp;"'"&amp;"!A" &amp; $O$832 + 5 &amp; ":Z" &amp; $O$832+ 5),0),4),1,""),$O$832 + 9),"")</f>
        <v>J216</v>
      </c>
      <c r="C856" s="906" t="str">
        <f t="shared" ca="1" si="130"/>
        <v>J</v>
      </c>
      <c r="D856" s="906" t="s">
        <v>1372</v>
      </c>
      <c r="E856" s="906" t="s">
        <v>1535</v>
      </c>
      <c r="F856" s="1480"/>
      <c r="G856" s="1480"/>
      <c r="H856" s="1480"/>
      <c r="I856" s="1427" t="str">
        <f t="shared" si="128"/>
        <v/>
      </c>
      <c r="J856" s="1480"/>
      <c r="K856" s="1480" t="str">
        <f t="shared" si="129"/>
        <v/>
      </c>
      <c r="L856" s="906" t="s">
        <v>1404</v>
      </c>
      <c r="M856" s="1480">
        <v>839</v>
      </c>
      <c r="N856" s="1480"/>
      <c r="O856" s="1477"/>
      <c r="P856" s="1477"/>
      <c r="Q856" s="1477"/>
      <c r="R856" s="1480" t="s">
        <v>1550</v>
      </c>
      <c r="S856" s="1477"/>
      <c r="T856" s="1480" t="str">
        <f t="shared" si="131"/>
        <v/>
      </c>
      <c r="U856" s="1477"/>
      <c r="V856" s="1477"/>
      <c r="W856" s="1477"/>
      <c r="X856" s="1477"/>
      <c r="Y856" s="1477"/>
      <c r="Z856" s="1477"/>
    </row>
    <row r="857" spans="1:26" x14ac:dyDescent="0.25">
      <c r="A857" s="929" t="s">
        <v>1405</v>
      </c>
      <c r="B857" s="906" t="str">
        <f ca="1">_xlfn.IFNA(_xlfn.CONCAT(SUBSTITUTE(ADDRESS(1,MATCH(A857,INDIRECT("'"&amp;E857&amp;"'"&amp;"!A" &amp; $O$832 + 5 &amp; ":Z" &amp; $O$832+ 5),0),4),1,""),$O$832 + 9),"")</f>
        <v>L216</v>
      </c>
      <c r="C857" s="906" t="str">
        <f t="shared" ca="1" si="130"/>
        <v>L</v>
      </c>
      <c r="D857" s="906" t="s">
        <v>1372</v>
      </c>
      <c r="E857" s="906" t="s">
        <v>1535</v>
      </c>
      <c r="F857" s="1480"/>
      <c r="G857" s="1480"/>
      <c r="H857" s="1480"/>
      <c r="I857" s="1427" t="str">
        <f t="shared" si="128"/>
        <v/>
      </c>
      <c r="J857" s="1480"/>
      <c r="K857" s="1480" t="str">
        <f t="shared" si="129"/>
        <v/>
      </c>
      <c r="L857" s="906" t="s">
        <v>1405</v>
      </c>
      <c r="M857" s="1480">
        <v>840</v>
      </c>
      <c r="N857" s="1480"/>
      <c r="O857" s="1477"/>
      <c r="P857" s="1477"/>
      <c r="Q857" s="1477"/>
      <c r="R857" s="1480" t="s">
        <v>1550</v>
      </c>
      <c r="S857" s="1477"/>
      <c r="T857" s="1480" t="str">
        <f t="shared" si="131"/>
        <v/>
      </c>
      <c r="U857" s="1477"/>
      <c r="V857" s="1477"/>
      <c r="W857" s="1477"/>
      <c r="X857" s="1477"/>
      <c r="Y857" s="1477"/>
      <c r="Z857" s="1477"/>
    </row>
    <row r="858" spans="1:26" x14ac:dyDescent="0.25">
      <c r="A858" s="929" t="s">
        <v>1403</v>
      </c>
      <c r="B858" s="906" t="str">
        <f ca="1">_xlfn.IFNA(_xlfn.CONCAT(SUBSTITUTE(ADDRESS(1,MATCH(A858,INDIRECT("'"&amp;E858&amp;"'"&amp;"!A" &amp; $O$832 + 5 &amp; ":Z" &amp; $O$832+ 5),0),4),1,""),$O$832 + 10),"")</f>
        <v>H217</v>
      </c>
      <c r="C858" s="906" t="str">
        <f t="shared" ca="1" si="130"/>
        <v>H</v>
      </c>
      <c r="D858" s="906" t="s">
        <v>1372</v>
      </c>
      <c r="E858" s="906" t="s">
        <v>1535</v>
      </c>
      <c r="F858" s="1480"/>
      <c r="G858" s="1480"/>
      <c r="H858" s="1480"/>
      <c r="I858" s="1427" t="str">
        <f t="shared" si="128"/>
        <v/>
      </c>
      <c r="J858" s="1480" t="str">
        <f t="shared" si="125"/>
        <v/>
      </c>
      <c r="K858" s="1480" t="str">
        <f t="shared" si="129"/>
        <v/>
      </c>
      <c r="L858" s="906" t="s">
        <v>1403</v>
      </c>
      <c r="M858" s="1480">
        <v>841</v>
      </c>
      <c r="N858" s="1480"/>
      <c r="O858" s="1477"/>
      <c r="P858" s="1477"/>
      <c r="Q858" s="1477"/>
      <c r="R858" s="1480" t="s">
        <v>1550</v>
      </c>
      <c r="S858" s="1477"/>
      <c r="T858" s="1480" t="str">
        <f t="shared" si="131"/>
        <v/>
      </c>
      <c r="U858" s="1477"/>
      <c r="V858" s="1477"/>
      <c r="W858" s="1477"/>
      <c r="X858" s="1477"/>
      <c r="Y858" s="1477"/>
      <c r="Z858" s="1477"/>
    </row>
    <row r="859" spans="1:26" x14ac:dyDescent="0.25">
      <c r="A859" s="929" t="s">
        <v>1404</v>
      </c>
      <c r="B859" s="906" t="str">
        <f ca="1">_xlfn.IFNA(_xlfn.CONCAT(SUBSTITUTE(ADDRESS(1,MATCH(A859,INDIRECT("'"&amp;E859&amp;"'"&amp;"!A" &amp; $O$832 + 5 &amp; ":Z" &amp; $O$832+ 5),0),4),1,""),$O$832 + 10),"")</f>
        <v>J217</v>
      </c>
      <c r="C859" s="906" t="str">
        <f t="shared" ca="1" si="130"/>
        <v>J</v>
      </c>
      <c r="D859" s="906" t="s">
        <v>1372</v>
      </c>
      <c r="E859" s="906" t="s">
        <v>1535</v>
      </c>
      <c r="F859" s="1480"/>
      <c r="G859" s="1480"/>
      <c r="H859" s="1480"/>
      <c r="I859" s="1427" t="str">
        <f t="shared" si="128"/>
        <v/>
      </c>
      <c r="J859" s="1480"/>
      <c r="K859" s="1480" t="str">
        <f t="shared" si="129"/>
        <v/>
      </c>
      <c r="L859" s="906" t="s">
        <v>1404</v>
      </c>
      <c r="M859" s="1480">
        <v>842</v>
      </c>
      <c r="N859" s="1480"/>
      <c r="O859" s="1477"/>
      <c r="P859" s="1477"/>
      <c r="Q859" s="1477"/>
      <c r="R859" s="1480" t="s">
        <v>1550</v>
      </c>
      <c r="S859" s="1477"/>
      <c r="T859" s="1480" t="str">
        <f t="shared" si="131"/>
        <v/>
      </c>
      <c r="U859" s="1477"/>
      <c r="V859" s="1477"/>
      <c r="W859" s="1477"/>
      <c r="X859" s="1477"/>
      <c r="Y859" s="1477"/>
      <c r="Z859" s="1477"/>
    </row>
    <row r="860" spans="1:26" x14ac:dyDescent="0.25">
      <c r="A860" s="929" t="s">
        <v>1405</v>
      </c>
      <c r="B860" s="906" t="str">
        <f ca="1">_xlfn.IFNA(_xlfn.CONCAT(SUBSTITUTE(ADDRESS(1,MATCH(A860,INDIRECT("'"&amp;E860&amp;"'"&amp;"!A" &amp; $O$832 + 5 &amp; ":Z" &amp; $O$832+ 5),0),4),1,""),$O$832 + 10),"")</f>
        <v>L217</v>
      </c>
      <c r="C860" s="906" t="str">
        <f t="shared" ca="1" si="130"/>
        <v>L</v>
      </c>
      <c r="D860" s="906" t="s">
        <v>1372</v>
      </c>
      <c r="E860" s="906" t="s">
        <v>1535</v>
      </c>
      <c r="F860" s="1480"/>
      <c r="G860" s="1480"/>
      <c r="H860" s="1480"/>
      <c r="I860" s="1427" t="str">
        <f t="shared" si="128"/>
        <v/>
      </c>
      <c r="J860" s="1480"/>
      <c r="K860" s="1480" t="str">
        <f t="shared" si="129"/>
        <v/>
      </c>
      <c r="L860" s="906" t="s">
        <v>1405</v>
      </c>
      <c r="M860" s="1480">
        <v>843</v>
      </c>
      <c r="N860" s="1480"/>
      <c r="O860" s="1477"/>
      <c r="P860" s="1477"/>
      <c r="Q860" s="1477"/>
      <c r="R860" s="1480" t="s">
        <v>1550</v>
      </c>
      <c r="S860" s="1477"/>
      <c r="T860" s="1480" t="str">
        <f t="shared" si="131"/>
        <v/>
      </c>
      <c r="U860" s="1477"/>
      <c r="V860" s="1477"/>
      <c r="W860" s="1477"/>
      <c r="X860" s="1477"/>
      <c r="Y860" s="1477"/>
      <c r="Z860" s="1477"/>
    </row>
    <row r="861" spans="1:26"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80" t="s">
        <v>1510</v>
      </c>
      <c r="G861" s="1480" t="str">
        <f>IF(T861&lt;&gt;"","A","")</f>
        <v/>
      </c>
      <c r="H861" s="1480" t="s">
        <v>2063</v>
      </c>
      <c r="I861" s="1427" t="str">
        <f t="shared" si="128"/>
        <v/>
      </c>
      <c r="J861" s="1480"/>
      <c r="K861" s="1480" t="str">
        <f t="shared" si="129"/>
        <v/>
      </c>
      <c r="L861" s="906" t="s">
        <v>1510</v>
      </c>
      <c r="M861" s="1480">
        <v>844</v>
      </c>
      <c r="N861" s="1480"/>
      <c r="O861" s="1477" t="s">
        <v>728</v>
      </c>
      <c r="P861" s="1477"/>
      <c r="Q861" s="1477"/>
      <c r="R861" s="1480" t="s">
        <v>1550</v>
      </c>
      <c r="S861" s="1477"/>
      <c r="T861" s="1480" t="str">
        <f t="shared" ref="T861:T890" si="132">IF(Q$862="Yes",16,"")</f>
        <v/>
      </c>
      <c r="U861" s="1477"/>
      <c r="V861" s="1477"/>
      <c r="W861" s="1477"/>
      <c r="X861" s="1477"/>
      <c r="Y861" s="1477"/>
      <c r="Z861" s="1477"/>
    </row>
    <row r="862" spans="1:26"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80"/>
      <c r="G862" s="1480"/>
      <c r="H862" s="1480"/>
      <c r="I862" s="1427" t="str">
        <f t="shared" si="128"/>
        <v/>
      </c>
      <c r="J862" s="1480" t="str">
        <f t="shared" ref="J862:J888" si="133">IF(M862&lt;&gt;"",IF($Q$862="Yes",Q$1&amp;M862,""))</f>
        <v/>
      </c>
      <c r="K862" s="1480" t="str">
        <f t="shared" si="129"/>
        <v/>
      </c>
      <c r="L862" s="906" t="s">
        <v>1724</v>
      </c>
      <c r="M862" s="1480">
        <v>845</v>
      </c>
      <c r="N862" s="1480"/>
      <c r="O862" s="1477">
        <f>'Configurable Tab'!H18</f>
        <v>223</v>
      </c>
      <c r="P862" s="1477"/>
      <c r="Q862" s="1477" t="s">
        <v>651</v>
      </c>
      <c r="R862" s="1480" t="s">
        <v>1550</v>
      </c>
      <c r="S862" s="1477"/>
      <c r="T862" s="1480" t="str">
        <f t="shared" si="132"/>
        <v/>
      </c>
      <c r="U862" s="1477"/>
      <c r="V862" s="1477"/>
      <c r="W862" s="1477"/>
      <c r="X862" s="1477"/>
      <c r="Y862" s="1477"/>
      <c r="Z862" s="1477"/>
    </row>
    <row r="863" spans="1:26"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80" t="s">
        <v>1399</v>
      </c>
      <c r="G863" s="1480" t="str">
        <f>IF(T863&lt;&gt;"","B","")</f>
        <v/>
      </c>
      <c r="H863" s="1480" t="s">
        <v>2063</v>
      </c>
      <c r="I863" s="1427" t="str">
        <f t="shared" si="128"/>
        <v/>
      </c>
      <c r="J863" s="1480"/>
      <c r="K863" s="1480" t="str">
        <f t="shared" si="129"/>
        <v/>
      </c>
      <c r="L863" s="906" t="s">
        <v>1399</v>
      </c>
      <c r="M863" s="1480">
        <v>846</v>
      </c>
      <c r="N863" s="1480"/>
      <c r="O863" s="1477" t="s">
        <v>729</v>
      </c>
      <c r="P863" s="1477"/>
      <c r="Q863" s="1477"/>
      <c r="R863" s="1480" t="s">
        <v>1550</v>
      </c>
      <c r="S863" s="1477"/>
      <c r="T863" s="1480" t="str">
        <f t="shared" si="132"/>
        <v/>
      </c>
      <c r="U863" s="1477"/>
      <c r="V863" s="1477"/>
      <c r="W863" s="1477"/>
      <c r="X863" s="1477"/>
      <c r="Y863" s="1477"/>
      <c r="Z863" s="1477"/>
    </row>
    <row r="864" spans="1:26" x14ac:dyDescent="0.25">
      <c r="A864" s="932" t="s">
        <v>1396</v>
      </c>
      <c r="B864" s="906" t="str">
        <f t="shared" ref="B864:B870" ca="1" si="134">_xlfn.CONCAT(IFERROR(SUBSTITUTE(ADDRESS(1,MATCH(A864,INDIRECT("'"&amp;E864&amp;"'"&amp;"!A" &amp; $O$862 + 2 &amp; ":Z" &amp; $O$862+ 2),0),4),1,""),""),$O$862 + 2)</f>
        <v>H225</v>
      </c>
      <c r="C864" s="906" t="str">
        <f t="shared" ref="C864:C870" ca="1" si="135">_xlfn.CONCAT(IFERROR(SUBSTITUTE(ADDRESS(1,MATCH(A864,INDIRECT("'"&amp;E864&amp;"'"&amp;"!A" &amp; $O$862 + 2 &amp; ":Z" &amp; $O$862+ 2),0),4),1,""),""),$O$862 + 3)</f>
        <v>H226</v>
      </c>
      <c r="D864" s="906" t="s">
        <v>1365</v>
      </c>
      <c r="E864" s="906" t="s">
        <v>1535</v>
      </c>
      <c r="F864" s="1480" t="s">
        <v>2064</v>
      </c>
      <c r="G864" s="1480" t="str">
        <f>IF(T864&lt;&gt;"","E","")</f>
        <v/>
      </c>
      <c r="H864" s="1480" t="s">
        <v>2063</v>
      </c>
      <c r="I864" s="1427" t="str">
        <f t="shared" si="128"/>
        <v/>
      </c>
      <c r="J864" s="1480" t="str">
        <f t="shared" si="133"/>
        <v/>
      </c>
      <c r="K864" s="1480" t="str">
        <f t="shared" si="129"/>
        <v/>
      </c>
      <c r="L864" s="906" t="s">
        <v>1396</v>
      </c>
      <c r="M864" s="1480">
        <v>847</v>
      </c>
      <c r="N864" s="1480"/>
      <c r="O864" s="1477">
        <f>'Configurable Tab'!I18</f>
        <v>238</v>
      </c>
      <c r="P864" s="1477"/>
      <c r="Q864" s="1477"/>
      <c r="R864" s="1480" t="s">
        <v>1550</v>
      </c>
      <c r="S864" s="1477"/>
      <c r="T864" s="1480" t="str">
        <f t="shared" si="132"/>
        <v/>
      </c>
      <c r="U864" s="1477"/>
      <c r="V864" s="1477"/>
      <c r="W864" s="1477"/>
      <c r="X864" s="1477"/>
      <c r="Y864" s="1477"/>
      <c r="Z864" s="1477"/>
    </row>
    <row r="865" spans="1:26" x14ac:dyDescent="0.25">
      <c r="A865" s="932" t="s">
        <v>1397</v>
      </c>
      <c r="B865" s="906" t="str">
        <f t="shared" ca="1" si="134"/>
        <v>J225</v>
      </c>
      <c r="C865" s="906" t="str">
        <f t="shared" ca="1" si="135"/>
        <v>J226</v>
      </c>
      <c r="D865" s="906" t="s">
        <v>1365</v>
      </c>
      <c r="E865" s="906" t="s">
        <v>1535</v>
      </c>
      <c r="F865" s="1480" t="s">
        <v>2065</v>
      </c>
      <c r="G865" s="1480" t="str">
        <f>IF(T865&lt;&gt;"","I","")</f>
        <v/>
      </c>
      <c r="H865" s="1480" t="s">
        <v>2063</v>
      </c>
      <c r="I865" s="1427" t="str">
        <f t="shared" si="128"/>
        <v/>
      </c>
      <c r="J865" s="1480" t="str">
        <f t="shared" si="133"/>
        <v/>
      </c>
      <c r="K865" s="1480" t="str">
        <f t="shared" si="129"/>
        <v/>
      </c>
      <c r="L865" s="906" t="s">
        <v>1397</v>
      </c>
      <c r="M865" s="1480">
        <v>848</v>
      </c>
      <c r="N865" s="1480"/>
      <c r="O865" s="1477" t="s">
        <v>1666</v>
      </c>
      <c r="P865" s="1477"/>
      <c r="Q865" s="1477"/>
      <c r="R865" s="1480" t="s">
        <v>1550</v>
      </c>
      <c r="S865" s="1477"/>
      <c r="T865" s="1480" t="str">
        <f t="shared" si="132"/>
        <v/>
      </c>
      <c r="U865" s="1477"/>
      <c r="V865" s="1477"/>
      <c r="W865" s="1477"/>
      <c r="X865" s="1477"/>
      <c r="Y865" s="1477"/>
      <c r="Z865" s="1477"/>
    </row>
    <row r="866" spans="1:26" x14ac:dyDescent="0.25">
      <c r="A866" s="932" t="s">
        <v>1413</v>
      </c>
      <c r="B866" s="906" t="str">
        <f t="shared" ca="1" si="134"/>
        <v>L225</v>
      </c>
      <c r="C866" s="906" t="str">
        <f t="shared" ca="1" si="135"/>
        <v>L226</v>
      </c>
      <c r="D866" s="906" t="s">
        <v>1365</v>
      </c>
      <c r="E866" s="906" t="s">
        <v>1535</v>
      </c>
      <c r="F866" s="1480" t="s">
        <v>2066</v>
      </c>
      <c r="G866" s="1480" t="str">
        <f>IF(T866&lt;&gt;"","H","")</f>
        <v/>
      </c>
      <c r="H866" s="1480" t="s">
        <v>2063</v>
      </c>
      <c r="I866" s="1427" t="str">
        <f t="shared" si="128"/>
        <v/>
      </c>
      <c r="J866" s="1480" t="str">
        <f t="shared" si="133"/>
        <v/>
      </c>
      <c r="K866" s="1480" t="str">
        <f t="shared" si="129"/>
        <v/>
      </c>
      <c r="L866" s="906" t="s">
        <v>1413</v>
      </c>
      <c r="M866" s="1480">
        <v>849</v>
      </c>
      <c r="N866" s="1480"/>
      <c r="O866" s="1477"/>
      <c r="P866" s="1477"/>
      <c r="Q866" s="1477"/>
      <c r="R866" s="1480" t="s">
        <v>1550</v>
      </c>
      <c r="S866" s="1477"/>
      <c r="T866" s="1480" t="str">
        <f t="shared" si="132"/>
        <v/>
      </c>
      <c r="U866" s="1477"/>
      <c r="V866" s="1477"/>
      <c r="W866" s="1477"/>
      <c r="X866" s="1477"/>
      <c r="Y866" s="1477"/>
      <c r="Z866" s="1477"/>
    </row>
    <row r="867" spans="1:26" x14ac:dyDescent="0.25">
      <c r="A867" s="932" t="s">
        <v>1398</v>
      </c>
      <c r="B867" s="906" t="str">
        <f t="shared" ca="1" si="134"/>
        <v>N225</v>
      </c>
      <c r="C867" s="906" t="str">
        <f t="shared" ca="1" si="135"/>
        <v>N226</v>
      </c>
      <c r="D867" s="906" t="s">
        <v>1365</v>
      </c>
      <c r="E867" s="906" t="s">
        <v>1535</v>
      </c>
      <c r="F867" s="1480" t="s">
        <v>1398</v>
      </c>
      <c r="G867" s="1480" t="str">
        <f>IF(T867&lt;&gt;"",IF(Q865="Credit Memo","J",IF(Q865="Check","K","")),"")</f>
        <v/>
      </c>
      <c r="H867" s="1480" t="s">
        <v>2063</v>
      </c>
      <c r="I867" s="1427" t="str">
        <f t="shared" si="128"/>
        <v/>
      </c>
      <c r="J867" s="1480" t="str">
        <f t="shared" si="133"/>
        <v/>
      </c>
      <c r="K867" s="1480" t="str">
        <f t="shared" si="129"/>
        <v/>
      </c>
      <c r="L867" s="906" t="s">
        <v>1398</v>
      </c>
      <c r="M867" s="1480">
        <v>850</v>
      </c>
      <c r="N867" s="1480"/>
      <c r="O867" s="1477"/>
      <c r="P867" s="1477"/>
      <c r="Q867" s="1477"/>
      <c r="R867" s="1480" t="s">
        <v>1550</v>
      </c>
      <c r="S867" s="1477"/>
      <c r="T867" s="1480" t="str">
        <f t="shared" si="132"/>
        <v/>
      </c>
      <c r="U867" s="1477"/>
      <c r="V867" s="1477"/>
      <c r="W867" s="1477"/>
      <c r="X867" s="1477"/>
      <c r="Y867" s="1477"/>
      <c r="Z867" s="1477"/>
    </row>
    <row r="868" spans="1:26" x14ac:dyDescent="0.25">
      <c r="A868" s="932" t="s">
        <v>1505</v>
      </c>
      <c r="B868" s="906" t="str">
        <f t="shared" ca="1" si="134"/>
        <v>P225</v>
      </c>
      <c r="C868" s="906" t="str">
        <f t="shared" ca="1" si="135"/>
        <v>P226</v>
      </c>
      <c r="D868" s="906" t="s">
        <v>1365</v>
      </c>
      <c r="E868" s="906" t="s">
        <v>1535</v>
      </c>
      <c r="F868" s="1480" t="s">
        <v>2067</v>
      </c>
      <c r="G868" s="1480" t="str">
        <f>IF(T868&lt;&gt;"","F","")</f>
        <v/>
      </c>
      <c r="H868" s="1480" t="s">
        <v>2063</v>
      </c>
      <c r="I868" s="1427" t="str">
        <f t="shared" si="128"/>
        <v/>
      </c>
      <c r="J868" s="1480" t="str">
        <f t="shared" si="133"/>
        <v/>
      </c>
      <c r="K868" s="1480" t="str">
        <f t="shared" si="129"/>
        <v/>
      </c>
      <c r="L868" s="906" t="s">
        <v>1505</v>
      </c>
      <c r="M868" s="1480">
        <v>851</v>
      </c>
      <c r="N868" s="1480"/>
      <c r="O868" s="1477"/>
      <c r="P868" s="1477"/>
      <c r="Q868" s="1477"/>
      <c r="R868" s="1480" t="s">
        <v>1550</v>
      </c>
      <c r="S868" s="1477"/>
      <c r="T868" s="1480" t="str">
        <f t="shared" si="132"/>
        <v/>
      </c>
      <c r="U868" s="1477"/>
      <c r="V868" s="1477"/>
      <c r="W868" s="1477"/>
      <c r="X868" s="1477"/>
      <c r="Y868" s="1477"/>
      <c r="Z868" s="1477"/>
    </row>
    <row r="869" spans="1:26" x14ac:dyDescent="0.25">
      <c r="A869" s="932" t="s">
        <v>1506</v>
      </c>
      <c r="B869" s="906" t="str">
        <f t="shared" ca="1" si="134"/>
        <v>R225</v>
      </c>
      <c r="C869" s="906" t="str">
        <f t="shared" ca="1" si="135"/>
        <v>R226</v>
      </c>
      <c r="D869" s="906" t="s">
        <v>1365</v>
      </c>
      <c r="E869" s="906" t="s">
        <v>1535</v>
      </c>
      <c r="F869" s="1480" t="s">
        <v>2068</v>
      </c>
      <c r="G869" s="1480" t="str">
        <f>IF(T869&lt;&gt;"","G","")</f>
        <v/>
      </c>
      <c r="H869" s="1480" t="s">
        <v>2063</v>
      </c>
      <c r="I869" s="1427" t="str">
        <f t="shared" si="128"/>
        <v/>
      </c>
      <c r="J869" s="1480" t="str">
        <f t="shared" si="133"/>
        <v/>
      </c>
      <c r="K869" s="1480" t="str">
        <f t="shared" si="129"/>
        <v/>
      </c>
      <c r="L869" s="906" t="s">
        <v>1506</v>
      </c>
      <c r="M869" s="1480">
        <v>852</v>
      </c>
      <c r="N869" s="1480"/>
      <c r="O869" s="1477"/>
      <c r="P869" s="1477"/>
      <c r="Q869" s="1477"/>
      <c r="R869" s="1480" t="s">
        <v>1550</v>
      </c>
      <c r="S869" s="1477"/>
      <c r="T869" s="1480" t="str">
        <f t="shared" si="132"/>
        <v/>
      </c>
      <c r="U869" s="1477"/>
      <c r="V869" s="1477"/>
      <c r="W869" s="1477"/>
      <c r="X869" s="1477"/>
      <c r="Y869" s="1477"/>
      <c r="Z869" s="1477"/>
    </row>
    <row r="870" spans="1:26" x14ac:dyDescent="0.25">
      <c r="A870" s="932" t="s">
        <v>1507</v>
      </c>
      <c r="B870" s="906" t="str">
        <f t="shared" ca="1" si="134"/>
        <v>T225</v>
      </c>
      <c r="C870" s="906" t="str">
        <f t="shared" ca="1" si="135"/>
        <v>T226</v>
      </c>
      <c r="D870" s="906" t="s">
        <v>1365</v>
      </c>
      <c r="E870" s="906" t="s">
        <v>1535</v>
      </c>
      <c r="F870" s="923" t="s">
        <v>1507</v>
      </c>
      <c r="G870" s="1480" t="str">
        <f>IF(T870&lt;&gt;"","AW","")</f>
        <v/>
      </c>
      <c r="H870" s="1480" t="s">
        <v>2063</v>
      </c>
      <c r="I870" s="1427" t="str">
        <f t="shared" si="128"/>
        <v/>
      </c>
      <c r="J870" s="1480" t="str">
        <f t="shared" si="133"/>
        <v/>
      </c>
      <c r="K870" s="1480" t="str">
        <f t="shared" si="129"/>
        <v/>
      </c>
      <c r="L870" s="906" t="s">
        <v>1507</v>
      </c>
      <c r="M870" s="1480">
        <v>853</v>
      </c>
      <c r="N870" s="1480"/>
      <c r="O870" s="1477"/>
      <c r="P870" s="1477"/>
      <c r="Q870" s="1477"/>
      <c r="R870" s="1480" t="s">
        <v>1550</v>
      </c>
      <c r="S870" s="1477"/>
      <c r="T870" s="1480" t="str">
        <f t="shared" si="132"/>
        <v/>
      </c>
      <c r="U870" s="1477"/>
      <c r="V870" s="1477"/>
      <c r="W870" s="1477"/>
      <c r="X870" s="1477"/>
      <c r="Y870" s="1477"/>
      <c r="Z870" s="1477"/>
    </row>
    <row r="871" spans="1:26"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80" t="s">
        <v>1401</v>
      </c>
      <c r="G871" s="1480" t="str">
        <f>IF(T871&lt;&gt;"","C","")</f>
        <v/>
      </c>
      <c r="H871" s="1480" t="s">
        <v>2063</v>
      </c>
      <c r="I871" s="1427" t="str">
        <f t="shared" si="128"/>
        <v/>
      </c>
      <c r="J871" s="1480"/>
      <c r="K871" s="1480" t="str">
        <f t="shared" si="129"/>
        <v/>
      </c>
      <c r="L871" s="906" t="s">
        <v>1401</v>
      </c>
      <c r="M871" s="1480">
        <v>854</v>
      </c>
      <c r="N871" s="1480"/>
      <c r="O871" s="1477"/>
      <c r="P871" s="1477"/>
      <c r="Q871" s="1477"/>
      <c r="R871" s="1480" t="s">
        <v>1550</v>
      </c>
      <c r="S871" s="1477"/>
      <c r="T871" s="1480" t="str">
        <f t="shared" si="132"/>
        <v/>
      </c>
      <c r="U871" s="1477"/>
      <c r="V871" s="1477"/>
      <c r="W871" s="1477"/>
      <c r="X871" s="1477"/>
      <c r="Y871" s="1477"/>
      <c r="Z871" s="1477"/>
    </row>
    <row r="872" spans="1:26"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80" t="s">
        <v>1402</v>
      </c>
      <c r="G872" s="1480" t="str">
        <f>IF(T872&lt;&gt;"","D","")</f>
        <v/>
      </c>
      <c r="H872" s="1480" t="s">
        <v>2063</v>
      </c>
      <c r="I872" s="1427" t="str">
        <f t="shared" si="128"/>
        <v/>
      </c>
      <c r="J872" s="1480"/>
      <c r="K872" s="1480" t="str">
        <f t="shared" si="129"/>
        <v/>
      </c>
      <c r="L872" s="906" t="s">
        <v>1402</v>
      </c>
      <c r="M872" s="1480">
        <v>855</v>
      </c>
      <c r="N872" s="1480"/>
      <c r="O872" s="1477"/>
      <c r="P872" s="1477"/>
      <c r="Q872" s="1477"/>
      <c r="R872" s="1480" t="s">
        <v>1550</v>
      </c>
      <c r="S872" s="1477"/>
      <c r="T872" s="1480" t="str">
        <f t="shared" si="132"/>
        <v/>
      </c>
      <c r="U872" s="1477"/>
      <c r="V872" s="1477"/>
      <c r="W872" s="1477"/>
      <c r="X872" s="1477"/>
      <c r="Y872" s="1477"/>
      <c r="Z872" s="1477"/>
    </row>
    <row r="873" spans="1:26"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80" t="s">
        <v>1514</v>
      </c>
      <c r="G873" s="1480" t="str">
        <f>IF(T873&lt;&gt;"","AN","")</f>
        <v/>
      </c>
      <c r="H873" s="1480" t="s">
        <v>2063</v>
      </c>
      <c r="I873" s="1427" t="str">
        <f t="shared" si="128"/>
        <v/>
      </c>
      <c r="J873" s="1480" t="str">
        <f t="shared" si="133"/>
        <v/>
      </c>
      <c r="K873" s="1480" t="str">
        <f t="shared" si="129"/>
        <v/>
      </c>
      <c r="L873" s="906" t="s">
        <v>1514</v>
      </c>
      <c r="M873" s="1480">
        <v>856</v>
      </c>
      <c r="N873" s="1480"/>
      <c r="O873" s="1477"/>
      <c r="P873" s="1484" t="str" cm="1">
        <f t="array" aca="1" ref="P873" ca="1">_xlfn.CONCAT("F",RIGHT(B873, LEN(B873) - MAX(IF(ISNUMBER(MID(B873, ROW(INDIRECT("1:"&amp;LEN(B873))), 1) *1)=FALSE, ROW(INDIRECT("1:"&amp;LEN(B873))), 0))))</f>
        <v>F235</v>
      </c>
      <c r="Q873" s="1480" t="str" cm="1">
        <f t="array" aca="1" ref="Q873" ca="1">_xlfn.CONCAT("E",RIGHT(C873, LEN(C873) - MAX(IF(ISNUMBER(MID(C873, ROW(INDIRECT("1:"&amp;LEN(C873))), 1) *1)=FALSE, ROW(INDIRECT("1:"&amp;LEN(C873))), 0))))</f>
        <v>E235</v>
      </c>
      <c r="R873" s="1480" t="s">
        <v>1550</v>
      </c>
      <c r="S873" s="1477"/>
      <c r="T873" s="1480" t="str">
        <f t="shared" si="132"/>
        <v/>
      </c>
      <c r="U873" s="1477"/>
      <c r="V873" s="1477"/>
      <c r="W873" s="1477"/>
      <c r="X873" s="1477"/>
      <c r="Y873" s="1477"/>
      <c r="Z873" s="1477"/>
    </row>
    <row r="874" spans="1:26"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80" t="s">
        <v>1511</v>
      </c>
      <c r="G874" s="1480" t="str">
        <f>IF(T874&lt;&gt;"","AL","")</f>
        <v/>
      </c>
      <c r="H874" s="1480" t="s">
        <v>2063</v>
      </c>
      <c r="I874" s="1427" t="str">
        <f t="shared" si="128"/>
        <v/>
      </c>
      <c r="J874" s="1480" t="str">
        <f t="shared" si="133"/>
        <v/>
      </c>
      <c r="K874" s="1480" t="str">
        <f t="shared" si="129"/>
        <v/>
      </c>
      <c r="L874" s="906" t="s">
        <v>1511</v>
      </c>
      <c r="M874" s="1480">
        <v>857</v>
      </c>
      <c r="N874" s="1480"/>
      <c r="O874" s="1477"/>
      <c r="P874" s="1477"/>
      <c r="Q874" s="1477"/>
      <c r="R874" s="1480" t="s">
        <v>1550</v>
      </c>
      <c r="S874" s="1477"/>
      <c r="T874" s="1480" t="str">
        <f t="shared" si="132"/>
        <v/>
      </c>
      <c r="U874" s="1477"/>
      <c r="V874" s="1477"/>
      <c r="W874" s="1477"/>
      <c r="X874" s="1477"/>
      <c r="Y874" s="1477"/>
      <c r="Z874" s="1477"/>
    </row>
    <row r="875" spans="1:26"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80" t="s">
        <v>2069</v>
      </c>
      <c r="G875" s="1480" t="str">
        <f>IF(T875&lt;&gt;"","L","")</f>
        <v/>
      </c>
      <c r="H875" s="1480" t="s">
        <v>2063</v>
      </c>
      <c r="I875" s="1427" t="str">
        <f t="shared" si="128"/>
        <v/>
      </c>
      <c r="J875" s="1480" t="str">
        <f t="shared" si="133"/>
        <v/>
      </c>
      <c r="K875" s="1480" t="str">
        <f t="shared" si="129"/>
        <v/>
      </c>
      <c r="L875" s="906" t="s">
        <v>1525</v>
      </c>
      <c r="M875" s="1480">
        <v>858</v>
      </c>
      <c r="N875" s="1480"/>
      <c r="O875" s="1477"/>
      <c r="P875" s="1477"/>
      <c r="Q875" s="1477"/>
      <c r="R875" s="1480" t="s">
        <v>1550</v>
      </c>
      <c r="S875" s="1477"/>
      <c r="T875" s="1480" t="str">
        <f t="shared" si="132"/>
        <v/>
      </c>
      <c r="U875" s="1477"/>
      <c r="V875" s="1477"/>
      <c r="W875" s="1477"/>
      <c r="X875" s="1477"/>
      <c r="Y875" s="1477"/>
      <c r="Z875" s="1477"/>
    </row>
    <row r="876" spans="1:26" x14ac:dyDescent="0.25">
      <c r="A876" s="932" t="s">
        <v>1403</v>
      </c>
      <c r="B876" s="906" t="str">
        <f ca="1">_xlfn.IFNA(_xlfn.CONCAT(SUBSTITUTE(ADDRESS(1,MATCH(A876,INDIRECT("'"&amp;E876&amp;"'"&amp;"!A" &amp; $O$862 + 5 &amp; ":Z" &amp; $O$862+ 5),0),4),1,""),$O$862 + 6),"")</f>
        <v>H229</v>
      </c>
      <c r="C876" s="906" t="str">
        <f t="shared" ref="C876:C890" ca="1" si="136">_xlfn.IFNA(SUBSTITUTE(ADDRESS(1,MATCH(A876,INDIRECT("'"&amp;E876&amp;"'"&amp;"!A" &amp; $O$862 + 5 &amp; ":Z" &amp; $O$862+ 5),0),4),1,""),"")</f>
        <v>H</v>
      </c>
      <c r="D876" s="906" t="s">
        <v>1372</v>
      </c>
      <c r="E876" s="906" t="s">
        <v>1535</v>
      </c>
      <c r="F876" s="923"/>
      <c r="G876" s="1480"/>
      <c r="H876" s="1480"/>
      <c r="I876" s="1427" t="str">
        <f t="shared" si="128"/>
        <v/>
      </c>
      <c r="J876" s="1480" t="str">
        <f t="shared" si="133"/>
        <v/>
      </c>
      <c r="K876" s="1480" t="str">
        <f t="shared" si="129"/>
        <v/>
      </c>
      <c r="L876" s="906" t="s">
        <v>1403</v>
      </c>
      <c r="M876" s="1480">
        <v>859</v>
      </c>
      <c r="N876" s="1480"/>
      <c r="O876" s="1477"/>
      <c r="P876" s="1477"/>
      <c r="Q876" s="1477"/>
      <c r="R876" s="1480" t="s">
        <v>1550</v>
      </c>
      <c r="S876" s="1477"/>
      <c r="T876" s="1480" t="str">
        <f t="shared" si="132"/>
        <v/>
      </c>
      <c r="U876" s="1477"/>
      <c r="V876" s="1477"/>
      <c r="W876" s="1477"/>
      <c r="X876" s="1477"/>
      <c r="Y876" s="1477"/>
      <c r="Z876" s="1477"/>
    </row>
    <row r="877" spans="1:26" x14ac:dyDescent="0.25">
      <c r="A877" s="932" t="s">
        <v>1404</v>
      </c>
      <c r="B877" s="906" t="str">
        <f ca="1">_xlfn.IFNA(_xlfn.CONCAT(SUBSTITUTE(ADDRESS(1,MATCH(A877,INDIRECT("'"&amp;E877&amp;"'"&amp;"!A" &amp; $O$862 + 5 &amp; ":Z" &amp; $O$862+ 5),0),4),1,""),$O$862 + 6),"")</f>
        <v>J229</v>
      </c>
      <c r="C877" s="906" t="str">
        <f t="shared" ca="1" si="136"/>
        <v>J</v>
      </c>
      <c r="D877" s="906" t="s">
        <v>1372</v>
      </c>
      <c r="E877" s="906" t="s">
        <v>1535</v>
      </c>
      <c r="F877" s="923"/>
      <c r="G877" s="1480"/>
      <c r="H877" s="1480"/>
      <c r="I877" s="1427" t="str">
        <f t="shared" si="128"/>
        <v/>
      </c>
      <c r="J877" s="1480"/>
      <c r="K877" s="1480" t="str">
        <f t="shared" si="129"/>
        <v/>
      </c>
      <c r="L877" s="906" t="s">
        <v>1404</v>
      </c>
      <c r="M877" s="1480">
        <v>860</v>
      </c>
      <c r="N877" s="1480"/>
      <c r="O877" s="1477"/>
      <c r="P877" s="1477"/>
      <c r="Q877" s="1477"/>
      <c r="R877" s="1480" t="s">
        <v>1550</v>
      </c>
      <c r="S877" s="1477"/>
      <c r="T877" s="1480" t="str">
        <f t="shared" si="132"/>
        <v/>
      </c>
      <c r="U877" s="1477"/>
      <c r="V877" s="1477"/>
      <c r="W877" s="1477"/>
      <c r="X877" s="1477"/>
      <c r="Y877" s="1477"/>
      <c r="Z877" s="1477"/>
    </row>
    <row r="878" spans="1:26" x14ac:dyDescent="0.25">
      <c r="A878" s="932" t="s">
        <v>1405</v>
      </c>
      <c r="B878" s="906" t="str">
        <f ca="1">_xlfn.IFNA(_xlfn.CONCAT(SUBSTITUTE(ADDRESS(1,MATCH(A878,INDIRECT("'"&amp;E878&amp;"'"&amp;"!A" &amp; $O$862 + 5 &amp; ":Z" &amp; $O$862+ 5),0),4),1,""),$O$862 + 6),"")</f>
        <v>L229</v>
      </c>
      <c r="C878" s="906" t="str">
        <f t="shared" ca="1" si="136"/>
        <v>L</v>
      </c>
      <c r="D878" s="906" t="s">
        <v>1372</v>
      </c>
      <c r="E878" s="906" t="s">
        <v>1535</v>
      </c>
      <c r="F878" s="1192"/>
      <c r="G878" s="1480"/>
      <c r="H878" s="1480"/>
      <c r="I878" s="1427" t="str">
        <f t="shared" si="128"/>
        <v/>
      </c>
      <c r="J878" s="1480"/>
      <c r="K878" s="1480" t="str">
        <f t="shared" si="129"/>
        <v/>
      </c>
      <c r="L878" s="906" t="s">
        <v>1405</v>
      </c>
      <c r="M878" s="1480">
        <v>861</v>
      </c>
      <c r="N878" s="1480"/>
      <c r="O878" s="1477"/>
      <c r="P878" s="1477"/>
      <c r="Q878" s="1477"/>
      <c r="R878" s="1480" t="s">
        <v>1550</v>
      </c>
      <c r="S878" s="1477"/>
      <c r="T878" s="1480" t="str">
        <f t="shared" si="132"/>
        <v/>
      </c>
      <c r="U878" s="1477"/>
      <c r="V878" s="1477"/>
      <c r="W878" s="1477"/>
      <c r="X878" s="1477"/>
      <c r="Y878" s="1477"/>
      <c r="Z878" s="1477"/>
    </row>
    <row r="879" spans="1:26" x14ac:dyDescent="0.25">
      <c r="A879" s="932" t="s">
        <v>1403</v>
      </c>
      <c r="B879" s="906" t="str">
        <f ca="1">_xlfn.IFNA(_xlfn.CONCAT(SUBSTITUTE(ADDRESS(1,MATCH(A879,INDIRECT("'"&amp;E879&amp;"'"&amp;"!A" &amp; $O$862 + 5 &amp; ":Z" &amp; $O$862+ 5),0),4),1,""),$O$862 + 7),"")</f>
        <v>H230</v>
      </c>
      <c r="C879" s="906" t="str">
        <f t="shared" ca="1" si="136"/>
        <v>H</v>
      </c>
      <c r="D879" s="906" t="s">
        <v>1372</v>
      </c>
      <c r="E879" s="906" t="s">
        <v>1535</v>
      </c>
      <c r="F879" s="1480"/>
      <c r="G879" s="1480"/>
      <c r="H879" s="1480"/>
      <c r="I879" s="1427" t="str">
        <f t="shared" si="128"/>
        <v/>
      </c>
      <c r="J879" s="1480" t="str">
        <f t="shared" si="133"/>
        <v/>
      </c>
      <c r="K879" s="1480" t="str">
        <f t="shared" si="129"/>
        <v/>
      </c>
      <c r="L879" s="906" t="s">
        <v>1403</v>
      </c>
      <c r="M879" s="1480">
        <v>862</v>
      </c>
      <c r="N879" s="1480"/>
      <c r="O879" s="1477"/>
      <c r="P879" s="1477"/>
      <c r="Q879" s="1477"/>
      <c r="R879" s="1480" t="s">
        <v>1550</v>
      </c>
      <c r="S879" s="1477"/>
      <c r="T879" s="1480" t="str">
        <f t="shared" si="132"/>
        <v/>
      </c>
      <c r="U879" s="1477"/>
      <c r="V879" s="1477"/>
      <c r="W879" s="1477"/>
      <c r="X879" s="1477"/>
      <c r="Y879" s="1477"/>
      <c r="Z879" s="1477"/>
    </row>
    <row r="880" spans="1:26" x14ac:dyDescent="0.25">
      <c r="A880" s="932" t="s">
        <v>1404</v>
      </c>
      <c r="B880" s="906" t="str">
        <f ca="1">_xlfn.IFNA(_xlfn.CONCAT(SUBSTITUTE(ADDRESS(1,MATCH(A880,INDIRECT("'"&amp;E880&amp;"'"&amp;"!A" &amp; $O$862 + 5 &amp; ":Z" &amp; $O$862+ 5),0),4),1,""),$O$862 + 7),"")</f>
        <v>J230</v>
      </c>
      <c r="C880" s="906" t="str">
        <f t="shared" ca="1" si="136"/>
        <v>J</v>
      </c>
      <c r="D880" s="906" t="s">
        <v>1372</v>
      </c>
      <c r="E880" s="906" t="s">
        <v>1535</v>
      </c>
      <c r="F880" s="1480"/>
      <c r="G880" s="1480"/>
      <c r="H880" s="1480"/>
      <c r="I880" s="1427" t="str">
        <f t="shared" si="128"/>
        <v/>
      </c>
      <c r="J880" s="1480"/>
      <c r="K880" s="1480" t="str">
        <f t="shared" si="129"/>
        <v/>
      </c>
      <c r="L880" s="906" t="s">
        <v>1404</v>
      </c>
      <c r="M880" s="1480">
        <v>863</v>
      </c>
      <c r="N880" s="1480"/>
      <c r="O880" s="1477"/>
      <c r="P880" s="1477"/>
      <c r="Q880" s="1477"/>
      <c r="R880" s="1480" t="s">
        <v>1550</v>
      </c>
      <c r="S880" s="1477"/>
      <c r="T880" s="1480" t="str">
        <f t="shared" si="132"/>
        <v/>
      </c>
      <c r="U880" s="1477"/>
      <c r="V880" s="1477"/>
      <c r="W880" s="1477"/>
      <c r="X880" s="1477"/>
      <c r="Y880" s="1477"/>
      <c r="Z880" s="1477"/>
    </row>
    <row r="881" spans="1:26" x14ac:dyDescent="0.25">
      <c r="A881" s="932" t="s">
        <v>1405</v>
      </c>
      <c r="B881" s="906" t="str">
        <f ca="1">_xlfn.IFNA(_xlfn.CONCAT(SUBSTITUTE(ADDRESS(1,MATCH(A881,INDIRECT("'"&amp;E881&amp;"'"&amp;"!A" &amp; $O$862 + 5 &amp; ":Z" &amp; $O$862+ 5),0),4),1,""),$O$862 + 7),"")</f>
        <v>L230</v>
      </c>
      <c r="C881" s="906" t="str">
        <f t="shared" ca="1" si="136"/>
        <v>L</v>
      </c>
      <c r="D881" s="906" t="s">
        <v>1372</v>
      </c>
      <c r="E881" s="906" t="s">
        <v>1535</v>
      </c>
      <c r="F881" s="1480"/>
      <c r="G881" s="1480"/>
      <c r="H881" s="1480"/>
      <c r="I881" s="1427" t="str">
        <f t="shared" si="128"/>
        <v/>
      </c>
      <c r="J881" s="1480"/>
      <c r="K881" s="1480" t="str">
        <f t="shared" si="129"/>
        <v/>
      </c>
      <c r="L881" s="906" t="s">
        <v>1405</v>
      </c>
      <c r="M881" s="1480">
        <v>864</v>
      </c>
      <c r="N881" s="1480"/>
      <c r="O881" s="1477"/>
      <c r="P881" s="1477"/>
      <c r="Q881" s="1477"/>
      <c r="R881" s="1480" t="s">
        <v>1550</v>
      </c>
      <c r="S881" s="1477"/>
      <c r="T881" s="1480" t="str">
        <f t="shared" si="132"/>
        <v/>
      </c>
      <c r="U881" s="1477"/>
      <c r="V881" s="1477"/>
      <c r="W881" s="1477"/>
      <c r="X881" s="1477"/>
      <c r="Y881" s="1477"/>
      <c r="Z881" s="1477"/>
    </row>
    <row r="882" spans="1:26" x14ac:dyDescent="0.25">
      <c r="A882" s="932" t="s">
        <v>1403</v>
      </c>
      <c r="B882" s="906" t="str">
        <f ca="1">_xlfn.IFNA(_xlfn.CONCAT(SUBSTITUTE(ADDRESS(1,MATCH(A882,INDIRECT("'"&amp;E882&amp;"'"&amp;"!A" &amp; $O$862 + 5 &amp; ":Z" &amp; $O$862+ 5),0),4),1,""),$O$862 + 8),"")</f>
        <v>H231</v>
      </c>
      <c r="C882" s="906" t="str">
        <f t="shared" ca="1" si="136"/>
        <v>H</v>
      </c>
      <c r="D882" s="906" t="s">
        <v>1372</v>
      </c>
      <c r="E882" s="906" t="s">
        <v>1535</v>
      </c>
      <c r="F882" s="1480"/>
      <c r="G882" s="1480"/>
      <c r="H882" s="1480"/>
      <c r="I882" s="1427" t="str">
        <f t="shared" si="128"/>
        <v/>
      </c>
      <c r="J882" s="1480" t="str">
        <f t="shared" si="133"/>
        <v/>
      </c>
      <c r="K882" s="1480" t="str">
        <f t="shared" si="129"/>
        <v/>
      </c>
      <c r="L882" s="906" t="s">
        <v>1403</v>
      </c>
      <c r="M882" s="1480">
        <v>865</v>
      </c>
      <c r="N882" s="1480"/>
      <c r="O882" s="1477"/>
      <c r="P882" s="1477"/>
      <c r="Q882" s="1477"/>
      <c r="R882" s="1480" t="s">
        <v>1550</v>
      </c>
      <c r="S882" s="1477"/>
      <c r="T882" s="1480" t="str">
        <f t="shared" si="132"/>
        <v/>
      </c>
      <c r="U882" s="1477"/>
      <c r="V882" s="1477"/>
      <c r="W882" s="1477"/>
      <c r="X882" s="1477"/>
      <c r="Y882" s="1477"/>
      <c r="Z882" s="1477"/>
    </row>
    <row r="883" spans="1:26" x14ac:dyDescent="0.25">
      <c r="A883" s="932" t="s">
        <v>1404</v>
      </c>
      <c r="B883" s="906" t="str">
        <f ca="1">_xlfn.IFNA(_xlfn.CONCAT(SUBSTITUTE(ADDRESS(1,MATCH(A883,INDIRECT("'"&amp;E883&amp;"'"&amp;"!A" &amp; $O$862 + 5 &amp; ":Z" &amp; $O$862+ 5),0),4),1,""),$O$862 + 8),"")</f>
        <v>J231</v>
      </c>
      <c r="C883" s="906" t="str">
        <f t="shared" ca="1" si="136"/>
        <v>J</v>
      </c>
      <c r="D883" s="906" t="s">
        <v>1372</v>
      </c>
      <c r="E883" s="906" t="s">
        <v>1535</v>
      </c>
      <c r="F883" s="1480"/>
      <c r="G883" s="1480"/>
      <c r="H883" s="1480"/>
      <c r="I883" s="1427" t="str">
        <f t="shared" si="128"/>
        <v/>
      </c>
      <c r="J883" s="1480"/>
      <c r="K883" s="1480" t="str">
        <f t="shared" si="129"/>
        <v/>
      </c>
      <c r="L883" s="906" t="s">
        <v>1404</v>
      </c>
      <c r="M883" s="1480">
        <v>866</v>
      </c>
      <c r="N883" s="1480"/>
      <c r="O883" s="1477"/>
      <c r="P883" s="1477"/>
      <c r="Q883" s="1477"/>
      <c r="R883" s="1480" t="s">
        <v>1550</v>
      </c>
      <c r="S883" s="1477"/>
      <c r="T883" s="1480" t="str">
        <f t="shared" si="132"/>
        <v/>
      </c>
      <c r="U883" s="1477"/>
      <c r="V883" s="1477"/>
      <c r="W883" s="1477"/>
      <c r="X883" s="1477"/>
      <c r="Y883" s="1477"/>
      <c r="Z883" s="1477"/>
    </row>
    <row r="884" spans="1:26" x14ac:dyDescent="0.25">
      <c r="A884" s="932" t="s">
        <v>1405</v>
      </c>
      <c r="B884" s="906" t="str">
        <f ca="1">_xlfn.IFNA(_xlfn.CONCAT(SUBSTITUTE(ADDRESS(1,MATCH(A884,INDIRECT("'"&amp;E884&amp;"'"&amp;"!A" &amp; $O$862 + 5 &amp; ":Z" &amp; $O$862+ 5),0),4),1,""),$O$862 + 8),"")</f>
        <v>L231</v>
      </c>
      <c r="C884" s="906" t="str">
        <f t="shared" ca="1" si="136"/>
        <v>L</v>
      </c>
      <c r="D884" s="906" t="s">
        <v>1372</v>
      </c>
      <c r="E884" s="906" t="s">
        <v>1535</v>
      </c>
      <c r="F884" s="1480"/>
      <c r="G884" s="1480"/>
      <c r="H884" s="1480"/>
      <c r="I884" s="1427" t="str">
        <f t="shared" si="128"/>
        <v/>
      </c>
      <c r="J884" s="1480"/>
      <c r="K884" s="1480" t="str">
        <f t="shared" si="129"/>
        <v/>
      </c>
      <c r="L884" s="906" t="s">
        <v>1405</v>
      </c>
      <c r="M884" s="1480">
        <v>867</v>
      </c>
      <c r="N884" s="1480"/>
      <c r="O884" s="1477"/>
      <c r="P884" s="1477"/>
      <c r="Q884" s="1477"/>
      <c r="R884" s="1480" t="s">
        <v>1550</v>
      </c>
      <c r="S884" s="1477"/>
      <c r="T884" s="1480" t="str">
        <f t="shared" si="132"/>
        <v/>
      </c>
      <c r="U884" s="1477"/>
      <c r="V884" s="1477"/>
      <c r="W884" s="1477"/>
      <c r="X884" s="1477"/>
      <c r="Y884" s="1477"/>
      <c r="Z884" s="1477"/>
    </row>
    <row r="885" spans="1:26" x14ac:dyDescent="0.25">
      <c r="A885" s="932" t="s">
        <v>1403</v>
      </c>
      <c r="B885" s="906" t="str">
        <f ca="1">_xlfn.IFNA(_xlfn.CONCAT(SUBSTITUTE(ADDRESS(1,MATCH(A885,INDIRECT("'"&amp;E885&amp;"'"&amp;"!A" &amp; $O$862 + 5 &amp; ":Z" &amp; $O$862+ 5),0),4),1,""),$O$862 + 9),"")</f>
        <v>H232</v>
      </c>
      <c r="C885" s="906" t="str">
        <f t="shared" ca="1" si="136"/>
        <v>H</v>
      </c>
      <c r="D885" s="906" t="s">
        <v>1372</v>
      </c>
      <c r="E885" s="906" t="s">
        <v>1535</v>
      </c>
      <c r="F885" s="1480"/>
      <c r="G885" s="1480"/>
      <c r="H885" s="1480"/>
      <c r="I885" s="1427" t="str">
        <f t="shared" si="128"/>
        <v/>
      </c>
      <c r="J885" s="1480" t="str">
        <f t="shared" si="133"/>
        <v/>
      </c>
      <c r="K885" s="1480" t="str">
        <f t="shared" si="129"/>
        <v/>
      </c>
      <c r="L885" s="906" t="s">
        <v>1403</v>
      </c>
      <c r="M885" s="1480">
        <v>868</v>
      </c>
      <c r="N885" s="1480"/>
      <c r="O885" s="1477"/>
      <c r="P885" s="1477"/>
      <c r="Q885" s="1477"/>
      <c r="R885" s="1480" t="s">
        <v>1550</v>
      </c>
      <c r="S885" s="1477"/>
      <c r="T885" s="1480" t="str">
        <f t="shared" si="132"/>
        <v/>
      </c>
      <c r="U885" s="1477"/>
      <c r="V885" s="1477"/>
      <c r="W885" s="1477"/>
      <c r="X885" s="1477"/>
      <c r="Y885" s="1477"/>
      <c r="Z885" s="1477"/>
    </row>
    <row r="886" spans="1:26" x14ac:dyDescent="0.25">
      <c r="A886" s="932" t="s">
        <v>1404</v>
      </c>
      <c r="B886" s="906" t="str">
        <f ca="1">_xlfn.IFNA(_xlfn.CONCAT(SUBSTITUTE(ADDRESS(1,MATCH(A886,INDIRECT("'"&amp;E886&amp;"'"&amp;"!A" &amp; $O$862 + 5 &amp; ":Z" &amp; $O$862+ 5),0),4),1,""),$O$862 + 9),"")</f>
        <v>J232</v>
      </c>
      <c r="C886" s="906" t="str">
        <f t="shared" ca="1" si="136"/>
        <v>J</v>
      </c>
      <c r="D886" s="906" t="s">
        <v>1372</v>
      </c>
      <c r="E886" s="906" t="s">
        <v>1535</v>
      </c>
      <c r="F886" s="1480"/>
      <c r="G886" s="1480"/>
      <c r="H886" s="1480"/>
      <c r="I886" s="1427" t="str">
        <f t="shared" si="128"/>
        <v/>
      </c>
      <c r="J886" s="1480"/>
      <c r="K886" s="1480" t="str">
        <f t="shared" si="129"/>
        <v/>
      </c>
      <c r="L886" s="906" t="s">
        <v>1404</v>
      </c>
      <c r="M886" s="1480">
        <v>869</v>
      </c>
      <c r="N886" s="1480"/>
      <c r="O886" s="1477"/>
      <c r="P886" s="1477"/>
      <c r="Q886" s="1477"/>
      <c r="R886" s="1480" t="s">
        <v>1550</v>
      </c>
      <c r="S886" s="1477"/>
      <c r="T886" s="1480" t="str">
        <f t="shared" si="132"/>
        <v/>
      </c>
      <c r="U886" s="1477"/>
      <c r="V886" s="1477"/>
      <c r="W886" s="1477"/>
      <c r="X886" s="1477"/>
      <c r="Y886" s="1477"/>
      <c r="Z886" s="1477"/>
    </row>
    <row r="887" spans="1:26" x14ac:dyDescent="0.25">
      <c r="A887" s="932" t="s">
        <v>1405</v>
      </c>
      <c r="B887" s="906" t="str">
        <f ca="1">_xlfn.IFNA(_xlfn.CONCAT(SUBSTITUTE(ADDRESS(1,MATCH(A887,INDIRECT("'"&amp;E887&amp;"'"&amp;"!A" &amp; $O$862 + 5 &amp; ":Z" &amp; $O$862+ 5),0),4),1,""),$O$862 + 9),"")</f>
        <v>L232</v>
      </c>
      <c r="C887" s="906" t="str">
        <f t="shared" ca="1" si="136"/>
        <v>L</v>
      </c>
      <c r="D887" s="906" t="s">
        <v>1372</v>
      </c>
      <c r="E887" s="906" t="s">
        <v>1535</v>
      </c>
      <c r="F887" s="1480"/>
      <c r="G887" s="1480"/>
      <c r="H887" s="1480"/>
      <c r="I887" s="1427" t="str">
        <f t="shared" si="128"/>
        <v/>
      </c>
      <c r="J887" s="1480"/>
      <c r="K887" s="1480" t="str">
        <f t="shared" si="129"/>
        <v/>
      </c>
      <c r="L887" s="906" t="s">
        <v>1405</v>
      </c>
      <c r="M887" s="1480">
        <v>870</v>
      </c>
      <c r="N887" s="1480"/>
      <c r="O887" s="1477"/>
      <c r="P887" s="1477"/>
      <c r="Q887" s="1477"/>
      <c r="R887" s="1480" t="s">
        <v>1550</v>
      </c>
      <c r="S887" s="1477"/>
      <c r="T887" s="1480" t="str">
        <f t="shared" si="132"/>
        <v/>
      </c>
      <c r="U887" s="1477"/>
      <c r="V887" s="1477"/>
      <c r="W887" s="1477"/>
      <c r="X887" s="1477"/>
      <c r="Y887" s="1477"/>
      <c r="Z887" s="1477"/>
    </row>
    <row r="888" spans="1:26" x14ac:dyDescent="0.25">
      <c r="A888" s="932" t="s">
        <v>1403</v>
      </c>
      <c r="B888" s="906" t="str">
        <f ca="1">_xlfn.IFNA(_xlfn.CONCAT(SUBSTITUTE(ADDRESS(1,MATCH(A888,INDIRECT("'"&amp;E888&amp;"'"&amp;"!A" &amp; $O$862 + 5 &amp; ":Z" &amp; $O$862+ 5),0),4),1,""),$O$862 + 10),"")</f>
        <v>H233</v>
      </c>
      <c r="C888" s="906" t="str">
        <f t="shared" ca="1" si="136"/>
        <v>H</v>
      </c>
      <c r="D888" s="906" t="s">
        <v>1372</v>
      </c>
      <c r="E888" s="906" t="s">
        <v>1535</v>
      </c>
      <c r="F888" s="1480"/>
      <c r="G888" s="1480"/>
      <c r="H888" s="1480"/>
      <c r="I888" s="1427" t="str">
        <f t="shared" si="128"/>
        <v/>
      </c>
      <c r="J888" s="1480" t="str">
        <f t="shared" si="133"/>
        <v/>
      </c>
      <c r="K888" s="1480" t="str">
        <f t="shared" si="129"/>
        <v/>
      </c>
      <c r="L888" s="906" t="s">
        <v>1403</v>
      </c>
      <c r="M888" s="1480">
        <v>871</v>
      </c>
      <c r="N888" s="1480"/>
      <c r="O888" s="1477"/>
      <c r="P888" s="1477"/>
      <c r="Q888" s="1477"/>
      <c r="R888" s="1480" t="s">
        <v>1550</v>
      </c>
      <c r="S888" s="1477"/>
      <c r="T888" s="1480" t="str">
        <f t="shared" si="132"/>
        <v/>
      </c>
      <c r="U888" s="1477"/>
      <c r="V888" s="1477"/>
      <c r="W888" s="1477"/>
      <c r="X888" s="1477"/>
      <c r="Y888" s="1477"/>
      <c r="Z888" s="1477"/>
    </row>
    <row r="889" spans="1:26" x14ac:dyDescent="0.25">
      <c r="A889" s="932" t="s">
        <v>1404</v>
      </c>
      <c r="B889" s="906" t="str">
        <f ca="1">_xlfn.IFNA(_xlfn.CONCAT(SUBSTITUTE(ADDRESS(1,MATCH(A889,INDIRECT("'"&amp;E889&amp;"'"&amp;"!A" &amp; $O$862 + 5 &amp; ":Z" &amp; $O$862+ 5),0),4),1,""),$O$862 + 10),"")</f>
        <v>J233</v>
      </c>
      <c r="C889" s="906" t="str">
        <f t="shared" ca="1" si="136"/>
        <v>J</v>
      </c>
      <c r="D889" s="906" t="s">
        <v>1372</v>
      </c>
      <c r="E889" s="906" t="s">
        <v>1535</v>
      </c>
      <c r="F889" s="1480"/>
      <c r="G889" s="1480"/>
      <c r="H889" s="1480"/>
      <c r="I889" s="1427" t="str">
        <f t="shared" si="128"/>
        <v/>
      </c>
      <c r="J889" s="1480"/>
      <c r="K889" s="1480" t="str">
        <f t="shared" si="129"/>
        <v/>
      </c>
      <c r="L889" s="906" t="s">
        <v>1404</v>
      </c>
      <c r="M889" s="1480">
        <v>872</v>
      </c>
      <c r="N889" s="1480"/>
      <c r="O889" s="1477"/>
      <c r="P889" s="1477"/>
      <c r="Q889" s="1477"/>
      <c r="R889" s="1480" t="s">
        <v>1550</v>
      </c>
      <c r="S889" s="1477"/>
      <c r="T889" s="1480" t="str">
        <f t="shared" si="132"/>
        <v/>
      </c>
      <c r="U889" s="1477"/>
      <c r="V889" s="1477"/>
      <c r="W889" s="1477"/>
      <c r="X889" s="1477"/>
      <c r="Y889" s="1477"/>
      <c r="Z889" s="1477"/>
    </row>
    <row r="890" spans="1:26" x14ac:dyDescent="0.25">
      <c r="A890" s="932" t="s">
        <v>1405</v>
      </c>
      <c r="B890" s="906" t="str">
        <f ca="1">_xlfn.IFNA(_xlfn.CONCAT(SUBSTITUTE(ADDRESS(1,MATCH(A890,INDIRECT("'"&amp;E890&amp;"'"&amp;"!A" &amp; $O$862 + 5 &amp; ":Z" &amp; $O$862+ 5),0),4),1,""),$O$862 + 10),"")</f>
        <v>L233</v>
      </c>
      <c r="C890" s="906" t="str">
        <f t="shared" ca="1" si="136"/>
        <v>L</v>
      </c>
      <c r="D890" s="906" t="s">
        <v>1372</v>
      </c>
      <c r="E890" s="906" t="s">
        <v>1535</v>
      </c>
      <c r="F890" s="1480"/>
      <c r="G890" s="1480"/>
      <c r="H890" s="1480"/>
      <c r="I890" s="1427" t="str">
        <f t="shared" si="128"/>
        <v/>
      </c>
      <c r="J890" s="1480"/>
      <c r="K890" s="1480" t="str">
        <f t="shared" si="129"/>
        <v/>
      </c>
      <c r="L890" s="906" t="s">
        <v>1405</v>
      </c>
      <c r="M890" s="1480">
        <v>873</v>
      </c>
      <c r="N890" s="1480"/>
      <c r="O890" s="1477"/>
      <c r="P890" s="1477"/>
      <c r="Q890" s="1477"/>
      <c r="R890" s="1480" t="s">
        <v>1550</v>
      </c>
      <c r="S890" s="1477"/>
      <c r="T890" s="1480" t="str">
        <f t="shared" si="132"/>
        <v/>
      </c>
      <c r="U890" s="1477"/>
      <c r="V890" s="1477"/>
      <c r="W890" s="1477"/>
      <c r="X890" s="1477"/>
      <c r="Y890" s="1477"/>
      <c r="Z890" s="1477"/>
    </row>
    <row r="891" spans="1:26"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80" t="s">
        <v>1510</v>
      </c>
      <c r="G891" s="1480" t="str">
        <f>IF(T891&lt;&gt;"","A","")</f>
        <v>A</v>
      </c>
      <c r="H891" s="1480" t="s">
        <v>2063</v>
      </c>
      <c r="I891" s="1427" t="str">
        <f t="shared" si="128"/>
        <v/>
      </c>
      <c r="J891" s="1480"/>
      <c r="K891" s="1480" t="str">
        <f t="shared" si="129"/>
        <v/>
      </c>
      <c r="L891" s="906" t="s">
        <v>1510</v>
      </c>
      <c r="M891" s="1480">
        <v>874</v>
      </c>
      <c r="N891" s="1480"/>
      <c r="O891" s="1477" t="s">
        <v>728</v>
      </c>
      <c r="P891" s="1477"/>
      <c r="Q891" s="1477"/>
      <c r="R891" s="1480" t="s">
        <v>396</v>
      </c>
      <c r="S891" s="1477"/>
      <c r="T891" s="1480">
        <f>IF(Q$892="Yes",17,"")</f>
        <v>17</v>
      </c>
      <c r="U891" s="1477"/>
      <c r="V891" s="1477"/>
      <c r="W891" s="1477"/>
      <c r="X891" s="1477"/>
      <c r="Y891" s="1477"/>
      <c r="Z891" s="1477"/>
    </row>
    <row r="892" spans="1:26"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80"/>
      <c r="G892" s="1480"/>
      <c r="H892" s="1480"/>
      <c r="I892" s="1427" t="str">
        <f t="shared" si="128"/>
        <v>Offer This Incentive?</v>
      </c>
      <c r="J892" s="1480" t="str">
        <f t="shared" ref="J892:J909" si="137">IF(M892&lt;&gt;"",IF($Q$892="Yes",Q$1&amp;M892,""))</f>
        <v>F875</v>
      </c>
      <c r="K892" s="1480" t="str">
        <f t="shared" si="129"/>
        <v>Incentives Worksheet</v>
      </c>
      <c r="L892" s="906" t="s">
        <v>1724</v>
      </c>
      <c r="M892" s="1480">
        <v>875</v>
      </c>
      <c r="N892" s="1480"/>
      <c r="O892" s="1477">
        <f>'Configurable Tab'!H19</f>
        <v>239</v>
      </c>
      <c r="P892" s="1477"/>
      <c r="Q892" s="1477" t="s">
        <v>649</v>
      </c>
      <c r="R892" s="1480" t="s">
        <v>396</v>
      </c>
      <c r="S892" s="1477"/>
      <c r="T892" s="1480">
        <f t="shared" ref="T892:T909" si="138">IF(Q$892="Yes",17,"")</f>
        <v>17</v>
      </c>
      <c r="U892" s="1477">
        <f>IF(Q892="Yes",M892,"")</f>
        <v>875</v>
      </c>
      <c r="V892" s="1477"/>
      <c r="W892" s="1477"/>
      <c r="X892" s="1477"/>
      <c r="Y892" s="1477"/>
      <c r="Z892" s="1477"/>
    </row>
    <row r="893" spans="1:26"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80" t="s">
        <v>1399</v>
      </c>
      <c r="G893" s="1480" t="str">
        <f>IF(T893&lt;&gt;"","B","")</f>
        <v>B</v>
      </c>
      <c r="H893" s="1480" t="s">
        <v>2063</v>
      </c>
      <c r="I893" s="1427" t="str">
        <f t="shared" si="128"/>
        <v/>
      </c>
      <c r="J893" s="1480"/>
      <c r="K893" s="1480" t="str">
        <f t="shared" si="129"/>
        <v/>
      </c>
      <c r="L893" s="906" t="s">
        <v>1399</v>
      </c>
      <c r="M893" s="1480">
        <v>876</v>
      </c>
      <c r="N893" s="1480"/>
      <c r="O893" s="1477" t="s">
        <v>729</v>
      </c>
      <c r="P893" s="1477"/>
      <c r="Q893" s="1477"/>
      <c r="R893" s="1480" t="s">
        <v>396</v>
      </c>
      <c r="S893" s="1477"/>
      <c r="T893" s="1480">
        <f t="shared" si="138"/>
        <v>17</v>
      </c>
      <c r="U893" s="1477"/>
      <c r="V893" s="1477"/>
      <c r="W893" s="1477"/>
      <c r="X893" s="1477"/>
      <c r="Y893" s="1477"/>
      <c r="Z893" s="1477"/>
    </row>
    <row r="894" spans="1:26" x14ac:dyDescent="0.25">
      <c r="A894" s="929" t="s">
        <v>1396</v>
      </c>
      <c r="B894" s="906" t="str">
        <f t="shared" ref="B894:B900" ca="1" si="139">_xlfn.CONCAT(IFERROR(SUBSTITUTE(ADDRESS(1,MATCH(A894,INDIRECT("'"&amp;E894&amp;"'"&amp;"!A" &amp; $O$892 + 2 &amp; ":Z" &amp; $O$892+ 2),0),4),1,""),""),$O$892 + 2)</f>
        <v>H241</v>
      </c>
      <c r="C894" s="906" t="str">
        <f t="shared" ref="C894:C900" ca="1" si="140">_xlfn.CONCAT(IFERROR(SUBSTITUTE(ADDRESS(1,MATCH(A894,INDIRECT("'"&amp;E894&amp;"'"&amp;"!A" &amp; $O$892 + 2 &amp; ":Z" &amp; $O$892+ 2),0),4),1,""),""),$O$892 + 3)</f>
        <v>H242</v>
      </c>
      <c r="D894" s="906" t="s">
        <v>1365</v>
      </c>
      <c r="E894" s="906" t="s">
        <v>1535</v>
      </c>
      <c r="F894" s="1480" t="s">
        <v>2064</v>
      </c>
      <c r="G894" s="1480" t="str">
        <f>IF(T894&lt;&gt;"","E","")</f>
        <v>E</v>
      </c>
      <c r="H894" s="1480" t="s">
        <v>2063</v>
      </c>
      <c r="I894" s="1427" t="str">
        <f t="shared" si="128"/>
        <v>Incentive Period</v>
      </c>
      <c r="J894" s="1480" t="str">
        <f t="shared" si="137"/>
        <v>F877</v>
      </c>
      <c r="K894" s="1480" t="str">
        <f t="shared" si="129"/>
        <v>Incentives Worksheet</v>
      </c>
      <c r="L894" s="906" t="s">
        <v>1396</v>
      </c>
      <c r="M894" s="1480">
        <v>877</v>
      </c>
      <c r="N894" s="1480"/>
      <c r="O894" s="1477">
        <f>'Configurable Tab'!I19</f>
        <v>252</v>
      </c>
      <c r="P894" s="1477"/>
      <c r="Q894" s="1477"/>
      <c r="R894" s="1480" t="s">
        <v>396</v>
      </c>
      <c r="S894" s="1477"/>
      <c r="T894" s="1480">
        <f t="shared" si="138"/>
        <v>17</v>
      </c>
      <c r="U894" s="1477"/>
      <c r="V894" s="1477"/>
      <c r="W894" s="1477"/>
      <c r="X894" s="1477"/>
      <c r="Y894" s="1477"/>
      <c r="Z894" s="1477"/>
    </row>
    <row r="895" spans="1:26" x14ac:dyDescent="0.25">
      <c r="A895" s="929" t="s">
        <v>1397</v>
      </c>
      <c r="B895" s="906" t="str">
        <f t="shared" ca="1" si="139"/>
        <v>J241</v>
      </c>
      <c r="C895" s="906" t="str">
        <f t="shared" ca="1" si="140"/>
        <v>J242</v>
      </c>
      <c r="D895" s="906" t="s">
        <v>1365</v>
      </c>
      <c r="E895" s="906" t="s">
        <v>1535</v>
      </c>
      <c r="F895" s="1480" t="s">
        <v>2065</v>
      </c>
      <c r="G895" s="1480" t="str">
        <f>IF(T895&lt;&gt;"","I","")</f>
        <v>I</v>
      </c>
      <c r="H895" s="1480" t="s">
        <v>2063</v>
      </c>
      <c r="I895" s="1427" t="str">
        <f t="shared" si="128"/>
        <v>Payment Method</v>
      </c>
      <c r="J895" s="1480" t="str">
        <f t="shared" si="137"/>
        <v>F878</v>
      </c>
      <c r="K895" s="1480" t="str">
        <f t="shared" si="129"/>
        <v>Incentives Worksheet</v>
      </c>
      <c r="L895" s="906" t="s">
        <v>1397</v>
      </c>
      <c r="M895" s="1480">
        <v>878</v>
      </c>
      <c r="N895" s="1480"/>
      <c r="O895" s="1477" t="s">
        <v>1667</v>
      </c>
      <c r="P895" s="1477"/>
      <c r="Q895" s="1477" t="s">
        <v>484</v>
      </c>
      <c r="R895" s="1480" t="s">
        <v>396</v>
      </c>
      <c r="S895" s="1477"/>
      <c r="T895" s="1480">
        <f t="shared" si="138"/>
        <v>17</v>
      </c>
      <c r="U895" s="1477"/>
      <c r="V895" s="1477"/>
      <c r="W895" s="1477"/>
      <c r="X895" s="1477"/>
      <c r="Y895" s="1477"/>
      <c r="Z895" s="1477"/>
    </row>
    <row r="896" spans="1:26" x14ac:dyDescent="0.25">
      <c r="A896" s="929" t="s">
        <v>1413</v>
      </c>
      <c r="B896" s="906" t="str">
        <f t="shared" ca="1" si="139"/>
        <v>L241</v>
      </c>
      <c r="C896" s="906" t="str">
        <f t="shared" ca="1" si="140"/>
        <v>L242</v>
      </c>
      <c r="D896" s="906" t="s">
        <v>1365</v>
      </c>
      <c r="E896" s="906" t="s">
        <v>1535</v>
      </c>
      <c r="F896" s="1480" t="s">
        <v>2066</v>
      </c>
      <c r="G896" s="1480" t="str">
        <f>IF(T896&lt;&gt;"","H","")</f>
        <v>H</v>
      </c>
      <c r="H896" s="1480" t="s">
        <v>2063</v>
      </c>
      <c r="I896" s="1427" t="str">
        <f t="shared" si="128"/>
        <v>Paid To</v>
      </c>
      <c r="J896" s="1480" t="str">
        <f t="shared" si="137"/>
        <v>F879</v>
      </c>
      <c r="K896" s="1480" t="str">
        <f t="shared" si="129"/>
        <v>Incentives Worksheet</v>
      </c>
      <c r="L896" s="906" t="s">
        <v>1413</v>
      </c>
      <c r="M896" s="1480">
        <v>879</v>
      </c>
      <c r="N896" s="1480"/>
      <c r="O896" s="1477"/>
      <c r="P896" s="1477"/>
      <c r="Q896" s="1477"/>
      <c r="R896" s="1480" t="s">
        <v>396</v>
      </c>
      <c r="S896" s="1477"/>
      <c r="T896" s="1480">
        <f t="shared" si="138"/>
        <v>17</v>
      </c>
      <c r="U896" s="1477"/>
      <c r="V896" s="1477"/>
      <c r="W896" s="1477"/>
      <c r="X896" s="1477"/>
      <c r="Y896" s="1477"/>
      <c r="Z896" s="1477"/>
    </row>
    <row r="897" spans="1:26" x14ac:dyDescent="0.25">
      <c r="A897" s="929" t="s">
        <v>1398</v>
      </c>
      <c r="B897" s="906" t="str">
        <f t="shared" ca="1" si="139"/>
        <v>N241</v>
      </c>
      <c r="C897" s="906" t="str">
        <f t="shared" ca="1" si="140"/>
        <v>N242</v>
      </c>
      <c r="D897" s="906" t="s">
        <v>1365</v>
      </c>
      <c r="E897" s="906" t="s">
        <v>1535</v>
      </c>
      <c r="F897" s="1480" t="s">
        <v>1398</v>
      </c>
      <c r="G897" s="1480" t="str">
        <f>IF(T897&lt;&gt;"",IF(Q895="Credit Memo","J",IF(Q895="Check","K","")),"")</f>
        <v>J</v>
      </c>
      <c r="H897" s="1480" t="s">
        <v>2063</v>
      </c>
      <c r="I897" s="1427" t="str">
        <f t="shared" si="128"/>
        <v>AP/AR Vendor Number</v>
      </c>
      <c r="J897" s="1480" t="str">
        <f t="shared" si="137"/>
        <v>F880</v>
      </c>
      <c r="K897" s="1480" t="str">
        <f t="shared" si="129"/>
        <v>Incentives Worksheet</v>
      </c>
      <c r="L897" s="906" t="s">
        <v>1398</v>
      </c>
      <c r="M897" s="1480">
        <v>880</v>
      </c>
      <c r="N897" s="1480"/>
      <c r="O897" s="1477"/>
      <c r="P897" s="1477"/>
      <c r="Q897" s="1477"/>
      <c r="R897" s="1480" t="s">
        <v>396</v>
      </c>
      <c r="S897" s="1477"/>
      <c r="T897" s="1480">
        <f t="shared" si="138"/>
        <v>17</v>
      </c>
      <c r="U897" s="1477"/>
      <c r="V897" s="1477"/>
      <c r="W897" s="1477"/>
      <c r="X897" s="1477"/>
      <c r="Y897" s="1477"/>
      <c r="Z897" s="1477"/>
    </row>
    <row r="898" spans="1:26" x14ac:dyDescent="0.25">
      <c r="A898" s="929" t="s">
        <v>1505</v>
      </c>
      <c r="B898" s="906" t="str">
        <f t="shared" ca="1" si="139"/>
        <v>P241</v>
      </c>
      <c r="C898" s="906" t="str">
        <f t="shared" ca="1" si="140"/>
        <v>P242</v>
      </c>
      <c r="D898" s="906" t="s">
        <v>1365</v>
      </c>
      <c r="E898" s="906" t="s">
        <v>1535</v>
      </c>
      <c r="F898" s="1480" t="s">
        <v>2067</v>
      </c>
      <c r="G898" s="1480" t="str">
        <f>IF(T898&lt;&gt;"","F","")</f>
        <v>F</v>
      </c>
      <c r="H898" s="1480" t="s">
        <v>2063</v>
      </c>
      <c r="I898" s="1427" t="str">
        <f t="shared" si="128"/>
        <v>Qualifying Cycle</v>
      </c>
      <c r="J898" s="1480" t="str">
        <f t="shared" si="137"/>
        <v>F881</v>
      </c>
      <c r="K898" s="1480" t="str">
        <f t="shared" si="129"/>
        <v>Incentives Worksheet</v>
      </c>
      <c r="L898" s="906" t="s">
        <v>1505</v>
      </c>
      <c r="M898" s="1480">
        <v>881</v>
      </c>
      <c r="N898" s="1480"/>
      <c r="O898" s="1477"/>
      <c r="P898" s="1477"/>
      <c r="Q898" s="1477"/>
      <c r="R898" s="1480" t="s">
        <v>396</v>
      </c>
      <c r="S898" s="1477"/>
      <c r="T898" s="1480">
        <f t="shared" si="138"/>
        <v>17</v>
      </c>
      <c r="U898" s="1477"/>
      <c r="V898" s="1477"/>
      <c r="W898" s="1477"/>
      <c r="X898" s="1477"/>
      <c r="Y898" s="1477"/>
      <c r="Z898" s="1477"/>
    </row>
    <row r="899" spans="1:26" x14ac:dyDescent="0.25">
      <c r="A899" s="929" t="s">
        <v>1506</v>
      </c>
      <c r="B899" s="906" t="str">
        <f t="shared" ca="1" si="139"/>
        <v>R241</v>
      </c>
      <c r="C899" s="906" t="str">
        <f t="shared" ca="1" si="140"/>
        <v>R242</v>
      </c>
      <c r="D899" s="906" t="s">
        <v>1365</v>
      </c>
      <c r="E899" s="906" t="s">
        <v>1535</v>
      </c>
      <c r="F899" s="1480" t="s">
        <v>2068</v>
      </c>
      <c r="G899" s="1480" t="str">
        <f>IF(T899&lt;&gt;"","G","")</f>
        <v>G</v>
      </c>
      <c r="H899" s="1480" t="s">
        <v>2063</v>
      </c>
      <c r="I899" s="1427" t="str">
        <f t="shared" si="128"/>
        <v>Incentive Calendar</v>
      </c>
      <c r="J899" s="1480" t="str">
        <f t="shared" si="137"/>
        <v>F882</v>
      </c>
      <c r="K899" s="1480" t="str">
        <f t="shared" si="129"/>
        <v>Incentives Worksheet</v>
      </c>
      <c r="L899" s="906" t="s">
        <v>1506</v>
      </c>
      <c r="M899" s="1480">
        <v>882</v>
      </c>
      <c r="N899" s="1480"/>
      <c r="O899" s="1477"/>
      <c r="P899" s="1477"/>
      <c r="Q899" s="1477"/>
      <c r="R899" s="1480" t="s">
        <v>396</v>
      </c>
      <c r="S899" s="1477"/>
      <c r="T899" s="1480">
        <f t="shared" si="138"/>
        <v>17</v>
      </c>
      <c r="U899" s="1477"/>
      <c r="V899" s="1477"/>
      <c r="W899" s="1477"/>
      <c r="X899" s="1477"/>
      <c r="Y899" s="1477"/>
      <c r="Z899" s="1477"/>
    </row>
    <row r="900" spans="1:26" x14ac:dyDescent="0.25">
      <c r="A900" s="929" t="s">
        <v>1507</v>
      </c>
      <c r="B900" s="906" t="str">
        <f t="shared" ca="1" si="139"/>
        <v>T241</v>
      </c>
      <c r="C900" s="906" t="str">
        <f t="shared" ca="1" si="140"/>
        <v>T242</v>
      </c>
      <c r="D900" s="906" t="s">
        <v>1365</v>
      </c>
      <c r="E900" s="906" t="s">
        <v>1535</v>
      </c>
      <c r="F900" s="923" t="s">
        <v>1507</v>
      </c>
      <c r="G900" s="1480" t="str">
        <f>IF(T900&lt;&gt;"","AW","")</f>
        <v>AW</v>
      </c>
      <c r="H900" s="1480" t="s">
        <v>2063</v>
      </c>
      <c r="I900" s="1427" t="str">
        <f t="shared" ref="I900:I963" si="141">IF(J900&lt;&gt;"",A900,"")</f>
        <v>Post to GL Payment Method Flag</v>
      </c>
      <c r="J900" s="1480" t="str">
        <f t="shared" si="137"/>
        <v>F883</v>
      </c>
      <c r="K900" s="1480" t="str">
        <f t="shared" ref="K900:K963" si="142">IF(J900&lt;&gt;"",E900,"")</f>
        <v>Incentives Worksheet</v>
      </c>
      <c r="L900" s="906" t="s">
        <v>1507</v>
      </c>
      <c r="M900" s="1480">
        <v>883</v>
      </c>
      <c r="N900" s="1480"/>
      <c r="O900" s="1477"/>
      <c r="P900" s="1477"/>
      <c r="Q900" s="1477"/>
      <c r="R900" s="1480" t="s">
        <v>396</v>
      </c>
      <c r="S900" s="1477"/>
      <c r="T900" s="1480">
        <f t="shared" si="138"/>
        <v>17</v>
      </c>
      <c r="U900" s="1477"/>
      <c r="V900" s="1477"/>
      <c r="W900" s="1477"/>
      <c r="X900" s="1477"/>
      <c r="Y900" s="1477"/>
      <c r="Z900" s="1477"/>
    </row>
    <row r="901" spans="1:26"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80" t="s">
        <v>1401</v>
      </c>
      <c r="G901" s="1480" t="str">
        <f>IF(T901&lt;&gt;"","C","")</f>
        <v>C</v>
      </c>
      <c r="H901" s="1480" t="s">
        <v>2063</v>
      </c>
      <c r="I901" s="1427" t="str">
        <f t="shared" si="141"/>
        <v/>
      </c>
      <c r="J901" s="1480"/>
      <c r="K901" s="1480" t="str">
        <f t="shared" si="142"/>
        <v/>
      </c>
      <c r="L901" s="906" t="s">
        <v>1401</v>
      </c>
      <c r="M901" s="1480">
        <v>884</v>
      </c>
      <c r="N901" s="1480"/>
      <c r="O901" s="1477"/>
      <c r="P901" s="1477"/>
      <c r="Q901" s="1477"/>
      <c r="R901" s="1480" t="s">
        <v>396</v>
      </c>
      <c r="S901" s="1477"/>
      <c r="T901" s="1480">
        <f t="shared" si="138"/>
        <v>17</v>
      </c>
      <c r="U901" s="1477"/>
      <c r="V901" s="1477"/>
      <c r="W901" s="1477"/>
      <c r="X901" s="1477"/>
      <c r="Y901" s="1477"/>
      <c r="Z901" s="1477"/>
    </row>
    <row r="902" spans="1:26"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80" t="s">
        <v>1402</v>
      </c>
      <c r="G902" s="1480" t="str">
        <f>IF(T902&lt;&gt;"","D","")</f>
        <v>D</v>
      </c>
      <c r="H902" s="1480" t="s">
        <v>2063</v>
      </c>
      <c r="I902" s="1427" t="str">
        <f t="shared" si="141"/>
        <v/>
      </c>
      <c r="J902" s="1480"/>
      <c r="K902" s="1480" t="str">
        <f t="shared" si="142"/>
        <v/>
      </c>
      <c r="L902" s="906" t="s">
        <v>1402</v>
      </c>
      <c r="M902" s="1480">
        <v>885</v>
      </c>
      <c r="N902" s="1480"/>
      <c r="O902" s="1477"/>
      <c r="P902" s="1477"/>
      <c r="Q902" s="1477"/>
      <c r="R902" s="1480" t="s">
        <v>396</v>
      </c>
      <c r="S902" s="1477"/>
      <c r="T902" s="1480">
        <f t="shared" si="138"/>
        <v>17</v>
      </c>
      <c r="U902" s="1477"/>
      <c r="V902" s="1477"/>
      <c r="W902" s="1477"/>
      <c r="X902" s="1477"/>
      <c r="Y902" s="1477"/>
      <c r="Z902" s="1477"/>
    </row>
    <row r="903" spans="1:26"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80" t="s">
        <v>1514</v>
      </c>
      <c r="G903" s="1480" t="str">
        <f>IF(T903&lt;&gt;"","AN","")</f>
        <v>AN</v>
      </c>
      <c r="H903" s="1480" t="s">
        <v>2063</v>
      </c>
      <c r="I903" s="1427" t="str">
        <f t="shared" si="141"/>
        <v>Incentive Dates Match Agreement Dates Flag</v>
      </c>
      <c r="J903" s="1480" t="str">
        <f t="shared" si="137"/>
        <v>F886</v>
      </c>
      <c r="K903" s="1480" t="str">
        <f t="shared" si="142"/>
        <v>Incentives Worksheet</v>
      </c>
      <c r="L903" s="907" t="s">
        <v>1514</v>
      </c>
      <c r="M903" s="1480">
        <v>886</v>
      </c>
      <c r="N903" s="1480"/>
      <c r="O903" s="1477"/>
      <c r="P903" s="1484" t="str" cm="1">
        <f t="array" aca="1" ref="P903" ca="1">_xlfn.CONCAT("F",RIGHT(B903, LEN(B903) - MAX(IF(ISNUMBER(MID(B903, ROW(INDIRECT("1:"&amp;LEN(B903))), 1) *1)=FALSE, ROW(INDIRECT("1:"&amp;LEN(B903))), 0))))</f>
        <v>F249</v>
      </c>
      <c r="Q903" s="1480" t="str" cm="1">
        <f t="array" aca="1" ref="Q903" ca="1">_xlfn.CONCAT("E",RIGHT(C903, LEN(C903) - MAX(IF(ISNUMBER(MID(C903, ROW(INDIRECT("1:"&amp;LEN(C903))), 1) *1)=FALSE, ROW(INDIRECT("1:"&amp;LEN(C903))), 0))))</f>
        <v>E249</v>
      </c>
      <c r="R903" s="1480" t="s">
        <v>396</v>
      </c>
      <c r="S903" s="1477"/>
      <c r="T903" s="1480">
        <f t="shared" si="138"/>
        <v>17</v>
      </c>
      <c r="U903" s="1477"/>
      <c r="V903" s="1477"/>
      <c r="W903" s="1477"/>
      <c r="X903" s="1477"/>
      <c r="Y903" s="1477"/>
      <c r="Z903" s="1477"/>
    </row>
    <row r="904" spans="1:26"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80" t="s">
        <v>1511</v>
      </c>
      <c r="G904" s="1480" t="str">
        <f>IF(T904&lt;&gt;"","AL","")</f>
        <v>AL</v>
      </c>
      <c r="H904" s="1480" t="s">
        <v>2063</v>
      </c>
      <c r="I904" s="1427" t="str">
        <f t="shared" si="141"/>
        <v>Include All Customers Flag</v>
      </c>
      <c r="J904" s="1480" t="str">
        <f t="shared" si="137"/>
        <v>F887</v>
      </c>
      <c r="K904" s="1480" t="str">
        <f t="shared" si="142"/>
        <v>Incentives Worksheet</v>
      </c>
      <c r="L904" s="906" t="s">
        <v>1511</v>
      </c>
      <c r="M904" s="1480">
        <v>887</v>
      </c>
      <c r="N904" s="1480"/>
      <c r="O904" s="1477"/>
      <c r="P904" s="1477"/>
      <c r="Q904" s="1477"/>
      <c r="R904" s="1480" t="s">
        <v>396</v>
      </c>
      <c r="S904" s="1477"/>
      <c r="T904" s="1480">
        <f t="shared" si="138"/>
        <v>17</v>
      </c>
      <c r="U904" s="1477"/>
      <c r="V904" s="1477"/>
      <c r="W904" s="1477"/>
      <c r="X904" s="1477"/>
      <c r="Y904" s="1477"/>
      <c r="Z904" s="1477"/>
    </row>
    <row r="905" spans="1:26"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80" t="s">
        <v>2069</v>
      </c>
      <c r="G905" s="1480" t="str">
        <f>IF(T905&lt;&gt;"","L","")</f>
        <v>L</v>
      </c>
      <c r="H905" s="1480" t="s">
        <v>2063</v>
      </c>
      <c r="I905" s="1427" t="str">
        <f t="shared" si="141"/>
        <v>Customer Aggregation</v>
      </c>
      <c r="J905" s="1480" t="str">
        <f t="shared" si="137"/>
        <v>F888</v>
      </c>
      <c r="K905" s="1480" t="str">
        <f t="shared" si="142"/>
        <v>Incentives Worksheet</v>
      </c>
      <c r="L905" s="906" t="s">
        <v>1525</v>
      </c>
      <c r="M905" s="1480">
        <v>888</v>
      </c>
      <c r="N905" s="1480"/>
      <c r="O905" s="1477"/>
      <c r="P905" s="1477"/>
      <c r="Q905" s="1477"/>
      <c r="R905" s="1480" t="s">
        <v>396</v>
      </c>
      <c r="S905" s="1477"/>
      <c r="T905" s="1480">
        <f t="shared" si="138"/>
        <v>17</v>
      </c>
      <c r="U905" s="1477"/>
      <c r="V905" s="1477"/>
      <c r="W905" s="1477"/>
      <c r="X905" s="1477"/>
      <c r="Y905" s="1477"/>
      <c r="Z905" s="1477"/>
    </row>
    <row r="906" spans="1:26"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80" t="str">
        <f>IF(T906&lt;&gt;"","AH","")</f>
        <v>AH</v>
      </c>
      <c r="H906" s="1480" t="s">
        <v>2063</v>
      </c>
      <c r="I906" s="1427" t="str">
        <f t="shared" si="141"/>
        <v>Minimum Units</v>
      </c>
      <c r="J906" s="1480" t="str">
        <f t="shared" si="137"/>
        <v>F889</v>
      </c>
      <c r="K906" s="1480" t="str">
        <f t="shared" si="142"/>
        <v>Incentives Worksheet</v>
      </c>
      <c r="L906" s="906" t="s">
        <v>1403</v>
      </c>
      <c r="M906" s="1480">
        <v>889</v>
      </c>
      <c r="N906" s="1480"/>
      <c r="O906" s="1477"/>
      <c r="P906" s="1477"/>
      <c r="Q906" s="1477"/>
      <c r="R906" s="1480" t="s">
        <v>396</v>
      </c>
      <c r="S906" s="1477"/>
      <c r="T906" s="1480">
        <f t="shared" si="138"/>
        <v>17</v>
      </c>
      <c r="U906" s="1477"/>
      <c r="V906" s="1477"/>
      <c r="W906" s="1477"/>
      <c r="X906" s="1477"/>
      <c r="Y906" s="1477"/>
      <c r="Z906" s="1477"/>
    </row>
    <row r="907" spans="1:26"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80"/>
      <c r="H907" s="1480"/>
      <c r="I907" s="1427" t="str">
        <f t="shared" si="141"/>
        <v/>
      </c>
      <c r="J907" s="1480"/>
      <c r="K907" s="1480" t="str">
        <f t="shared" si="142"/>
        <v/>
      </c>
      <c r="L907" s="906" t="s">
        <v>1404</v>
      </c>
      <c r="M907" s="1480">
        <v>890</v>
      </c>
      <c r="N907" s="1480"/>
      <c r="O907" s="1477"/>
      <c r="P907" s="1477"/>
      <c r="Q907" s="1477"/>
      <c r="R907" s="1480" t="s">
        <v>396</v>
      </c>
      <c r="S907" s="1477"/>
      <c r="T907" s="1480">
        <f t="shared" si="138"/>
        <v>17</v>
      </c>
      <c r="U907" s="1477"/>
      <c r="V907" s="1477"/>
      <c r="W907" s="1477"/>
      <c r="X907" s="1477"/>
      <c r="Y907" s="1477"/>
      <c r="Z907" s="1477"/>
    </row>
    <row r="908" spans="1:26"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80" t="s">
        <v>1985</v>
      </c>
      <c r="G908" s="1480" t="str">
        <f>IF(T908&lt;&gt;"","AI","")</f>
        <v>AI</v>
      </c>
      <c r="H908" s="1480" t="s">
        <v>2063</v>
      </c>
      <c r="I908" s="1427" t="str">
        <f t="shared" si="141"/>
        <v/>
      </c>
      <c r="J908" s="1480"/>
      <c r="K908" s="1480" t="str">
        <f t="shared" si="142"/>
        <v/>
      </c>
      <c r="L908" s="906" t="s">
        <v>1405</v>
      </c>
      <c r="M908" s="1480">
        <v>891</v>
      </c>
      <c r="N908" s="1480"/>
      <c r="O908" s="1477"/>
      <c r="P908" s="1477"/>
      <c r="Q908" s="1477"/>
      <c r="R908" s="1480" t="s">
        <v>396</v>
      </c>
      <c r="S908" s="1477"/>
      <c r="T908" s="1480">
        <f t="shared" si="138"/>
        <v>17</v>
      </c>
      <c r="U908" s="1477"/>
      <c r="V908" s="1477"/>
      <c r="W908" s="1477"/>
      <c r="X908" s="1477"/>
      <c r="Y908" s="1477"/>
      <c r="Z908" s="1477"/>
    </row>
    <row r="909" spans="1:26"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80" t="s">
        <v>1527</v>
      </c>
      <c r="G909" s="1480" t="str">
        <f>IF(T909&lt;&gt;"","P","")</f>
        <v>P</v>
      </c>
      <c r="H909" s="1480" t="s">
        <v>2063</v>
      </c>
      <c r="I909" s="1427" t="str">
        <f t="shared" si="141"/>
        <v>Weekly Threshold Flag</v>
      </c>
      <c r="J909" s="1480" t="str">
        <f t="shared" si="137"/>
        <v>F892</v>
      </c>
      <c r="K909" s="1480" t="str">
        <f t="shared" si="142"/>
        <v>Incentives Worksheet</v>
      </c>
      <c r="L909" s="906" t="s">
        <v>1527</v>
      </c>
      <c r="M909" s="1480">
        <v>892</v>
      </c>
      <c r="N909" s="1480"/>
      <c r="O909" s="1477"/>
      <c r="P909" s="1477"/>
      <c r="Q909" s="1477"/>
      <c r="R909" s="1480" t="s">
        <v>396</v>
      </c>
      <c r="S909" s="1477"/>
      <c r="T909" s="1480">
        <f t="shared" si="138"/>
        <v>17</v>
      </c>
      <c r="U909" s="1477"/>
      <c r="V909" s="1477"/>
      <c r="W909" s="1477"/>
      <c r="X909" s="1477"/>
      <c r="Y909" s="1477"/>
      <c r="Z909" s="1477"/>
    </row>
    <row r="910" spans="1:26"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80" t="s">
        <v>1510</v>
      </c>
      <c r="G910" s="1480" t="str">
        <f>IF(T910&lt;&gt;"","A","")</f>
        <v/>
      </c>
      <c r="H910" s="1480" t="s">
        <v>2063</v>
      </c>
      <c r="I910" s="1427" t="str">
        <f t="shared" si="141"/>
        <v/>
      </c>
      <c r="J910" s="1480"/>
      <c r="K910" s="1480" t="str">
        <f t="shared" si="142"/>
        <v/>
      </c>
      <c r="L910" s="906" t="s">
        <v>1510</v>
      </c>
      <c r="M910" s="1480">
        <v>893</v>
      </c>
      <c r="N910" s="1480"/>
      <c r="O910" s="1477" t="s">
        <v>728</v>
      </c>
      <c r="P910" s="1477"/>
      <c r="Q910" s="1477"/>
      <c r="R910" s="1480" t="s">
        <v>396</v>
      </c>
      <c r="S910" s="1477"/>
      <c r="T910" s="1480" t="str">
        <f t="shared" ref="T910:T927" si="143">IF(Q$911="Yes",18,"")</f>
        <v/>
      </c>
      <c r="U910" s="1477"/>
      <c r="V910" s="1477"/>
      <c r="W910" s="1477"/>
      <c r="X910" s="1477"/>
      <c r="Y910" s="1477"/>
      <c r="Z910" s="1477"/>
    </row>
    <row r="911" spans="1:26"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80"/>
      <c r="G911" s="1480"/>
      <c r="H911" s="1480"/>
      <c r="I911" s="1427" t="str">
        <f t="shared" si="141"/>
        <v/>
      </c>
      <c r="J911" s="1480" t="str">
        <f t="shared" ref="J911:J928" si="144">IF(M911&lt;&gt;"",IF($Q$910="Yes",Q$1&amp;M911,""))</f>
        <v/>
      </c>
      <c r="K911" s="1480" t="str">
        <f t="shared" si="142"/>
        <v/>
      </c>
      <c r="L911" s="906" t="s">
        <v>1724</v>
      </c>
      <c r="M911" s="1480">
        <v>894</v>
      </c>
      <c r="N911" s="1480"/>
      <c r="O911" s="1477">
        <f>'Configurable Tab'!H20</f>
        <v>253</v>
      </c>
      <c r="P911" s="1477"/>
      <c r="Q911" s="1477" t="s">
        <v>651</v>
      </c>
      <c r="R911" s="1480" t="s">
        <v>396</v>
      </c>
      <c r="S911" s="1477"/>
      <c r="T911" s="1480" t="str">
        <f t="shared" si="143"/>
        <v/>
      </c>
      <c r="U911" s="1477"/>
      <c r="V911" s="1477"/>
      <c r="W911" s="1477"/>
      <c r="X911" s="1477"/>
      <c r="Y911" s="1477"/>
      <c r="Z911" s="1477"/>
    </row>
    <row r="912" spans="1:26"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80" t="s">
        <v>1399</v>
      </c>
      <c r="G912" s="1480" t="str">
        <f>IF(T912&lt;&gt;"","B","")</f>
        <v/>
      </c>
      <c r="H912" s="1480" t="s">
        <v>2063</v>
      </c>
      <c r="I912" s="1427" t="str">
        <f t="shared" si="141"/>
        <v/>
      </c>
      <c r="J912" s="1480"/>
      <c r="K912" s="1480" t="str">
        <f t="shared" si="142"/>
        <v/>
      </c>
      <c r="L912" s="906" t="s">
        <v>1399</v>
      </c>
      <c r="M912" s="1480">
        <v>895</v>
      </c>
      <c r="N912" s="1480"/>
      <c r="O912" s="1477" t="s">
        <v>729</v>
      </c>
      <c r="P912" s="1477"/>
      <c r="Q912" s="1477"/>
      <c r="R912" s="1480" t="s">
        <v>396</v>
      </c>
      <c r="S912" s="1477"/>
      <c r="T912" s="1480" t="str">
        <f t="shared" si="143"/>
        <v/>
      </c>
      <c r="U912" s="1477"/>
      <c r="V912" s="1477"/>
      <c r="W912" s="1477"/>
      <c r="X912" s="1477"/>
      <c r="Y912" s="1477"/>
      <c r="Z912" s="1477"/>
    </row>
    <row r="913" spans="1:26" x14ac:dyDescent="0.25">
      <c r="A913" s="1085" t="s">
        <v>1396</v>
      </c>
      <c r="B913" s="906" t="str">
        <f t="shared" ref="B913:B919" ca="1" si="145">_xlfn.CONCAT(IFERROR(SUBSTITUTE(ADDRESS(1,MATCH(A913,INDIRECT("'"&amp;E913&amp;"'"&amp;"!A" &amp; $O$911 + 2 &amp; ":Z" &amp; $O$911 + 2),0),4),1,""),""),$O$911 + 2)</f>
        <v>H255</v>
      </c>
      <c r="C913" s="906" t="str">
        <f t="shared" ref="C913:C919" ca="1" si="146">_xlfn.CONCAT(IFERROR(SUBSTITUTE(ADDRESS(1,MATCH(A913,INDIRECT("'"&amp;E913&amp;"'"&amp;"!A" &amp; $O$911 + 2 &amp; ":Z" &amp; $O$911 + 2),0),4),1,""),""),$O$911 + 3)</f>
        <v>H256</v>
      </c>
      <c r="D913" s="906" t="s">
        <v>1365</v>
      </c>
      <c r="E913" s="906" t="s">
        <v>1535</v>
      </c>
      <c r="F913" s="1480" t="s">
        <v>2064</v>
      </c>
      <c r="G913" s="1480" t="str">
        <f>IF(T913&lt;&gt;"","E","")</f>
        <v/>
      </c>
      <c r="H913" s="1480" t="s">
        <v>2063</v>
      </c>
      <c r="I913" s="1427" t="str">
        <f t="shared" si="141"/>
        <v/>
      </c>
      <c r="J913" s="1480" t="str">
        <f t="shared" si="144"/>
        <v/>
      </c>
      <c r="K913" s="1480" t="str">
        <f t="shared" si="142"/>
        <v/>
      </c>
      <c r="L913" s="906" t="s">
        <v>1396</v>
      </c>
      <c r="M913" s="1480">
        <v>896</v>
      </c>
      <c r="N913" s="1480"/>
      <c r="O913" s="1477">
        <f>'Configurable Tab'!I20</f>
        <v>266</v>
      </c>
      <c r="P913" s="1477"/>
      <c r="Q913" s="1477"/>
      <c r="R913" s="1480" t="s">
        <v>396</v>
      </c>
      <c r="S913" s="1477"/>
      <c r="T913" s="1480" t="str">
        <f t="shared" si="143"/>
        <v/>
      </c>
      <c r="U913" s="1477"/>
      <c r="V913" s="1477"/>
      <c r="W913" s="1477"/>
      <c r="X913" s="1477"/>
      <c r="Y913" s="1477"/>
      <c r="Z913" s="1477"/>
    </row>
    <row r="914" spans="1:26" x14ac:dyDescent="0.25">
      <c r="A914" s="1085" t="s">
        <v>1397</v>
      </c>
      <c r="B914" s="906" t="str">
        <f t="shared" ca="1" si="145"/>
        <v>J255</v>
      </c>
      <c r="C914" s="906" t="str">
        <f t="shared" ca="1" si="146"/>
        <v>J256</v>
      </c>
      <c r="D914" s="906" t="s">
        <v>1365</v>
      </c>
      <c r="E914" s="906" t="s">
        <v>1535</v>
      </c>
      <c r="F914" s="1480" t="s">
        <v>2065</v>
      </c>
      <c r="G914" s="1480" t="str">
        <f>IF(T914&lt;&gt;"","I","")</f>
        <v/>
      </c>
      <c r="H914" s="1480" t="s">
        <v>2063</v>
      </c>
      <c r="I914" s="1427" t="str">
        <f t="shared" si="141"/>
        <v/>
      </c>
      <c r="J914" s="1480" t="str">
        <f t="shared" si="144"/>
        <v/>
      </c>
      <c r="K914" s="1480" t="str">
        <f t="shared" si="142"/>
        <v/>
      </c>
      <c r="L914" s="906" t="s">
        <v>1397</v>
      </c>
      <c r="M914" s="1480">
        <v>897</v>
      </c>
      <c r="N914" s="1480"/>
      <c r="O914" s="1477" t="s">
        <v>1725</v>
      </c>
      <c r="P914" s="1477"/>
      <c r="Q914" s="1477"/>
      <c r="R914" s="1480" t="s">
        <v>396</v>
      </c>
      <c r="S914" s="1477"/>
      <c r="T914" s="1480" t="str">
        <f t="shared" si="143"/>
        <v/>
      </c>
      <c r="U914" s="1477"/>
      <c r="V914" s="1477"/>
      <c r="W914" s="1477"/>
      <c r="X914" s="1477"/>
      <c r="Y914" s="1477"/>
      <c r="Z914" s="1477"/>
    </row>
    <row r="915" spans="1:26" x14ac:dyDescent="0.25">
      <c r="A915" s="1085" t="s">
        <v>1413</v>
      </c>
      <c r="B915" s="906" t="str">
        <f t="shared" ca="1" si="145"/>
        <v>L255</v>
      </c>
      <c r="C915" s="906" t="str">
        <f t="shared" ca="1" si="146"/>
        <v>L256</v>
      </c>
      <c r="D915" s="906" t="s">
        <v>1365</v>
      </c>
      <c r="E915" s="906" t="s">
        <v>1535</v>
      </c>
      <c r="F915" s="1480" t="s">
        <v>2066</v>
      </c>
      <c r="G915" s="1480" t="str">
        <f>IF(T915&lt;&gt;"","H","")</f>
        <v/>
      </c>
      <c r="H915" s="1480" t="s">
        <v>2063</v>
      </c>
      <c r="I915" s="1427" t="str">
        <f t="shared" si="141"/>
        <v/>
      </c>
      <c r="J915" s="1480" t="str">
        <f t="shared" si="144"/>
        <v/>
      </c>
      <c r="K915" s="1480" t="str">
        <f t="shared" si="142"/>
        <v/>
      </c>
      <c r="L915" s="906" t="s">
        <v>1413</v>
      </c>
      <c r="M915" s="1480">
        <v>898</v>
      </c>
      <c r="N915" s="1480"/>
      <c r="O915" s="1477"/>
      <c r="P915" s="1477"/>
      <c r="Q915" s="1477"/>
      <c r="R915" s="1480" t="s">
        <v>396</v>
      </c>
      <c r="S915" s="1477"/>
      <c r="T915" s="1480" t="str">
        <f t="shared" si="143"/>
        <v/>
      </c>
      <c r="U915" s="1477"/>
      <c r="V915" s="1477"/>
      <c r="W915" s="1477"/>
      <c r="X915" s="1477"/>
      <c r="Y915" s="1477"/>
      <c r="Z915" s="1477"/>
    </row>
    <row r="916" spans="1:26" x14ac:dyDescent="0.25">
      <c r="A916" s="1085" t="s">
        <v>1398</v>
      </c>
      <c r="B916" s="906" t="str">
        <f t="shared" ca="1" si="145"/>
        <v>N255</v>
      </c>
      <c r="C916" s="906" t="str">
        <f t="shared" ca="1" si="146"/>
        <v>N256</v>
      </c>
      <c r="D916" s="906" t="s">
        <v>1365</v>
      </c>
      <c r="E916" s="906" t="s">
        <v>1535</v>
      </c>
      <c r="F916" s="1480" t="s">
        <v>1398</v>
      </c>
      <c r="G916" s="1480" t="str">
        <f>IF(T916&lt;&gt;"",IF(Q914="Credit Memo","J",IF(Q914="Check","K","")),"")</f>
        <v/>
      </c>
      <c r="H916" s="1480" t="s">
        <v>2063</v>
      </c>
      <c r="I916" s="1427" t="str">
        <f t="shared" si="141"/>
        <v/>
      </c>
      <c r="J916" s="1480" t="str">
        <f t="shared" si="144"/>
        <v/>
      </c>
      <c r="K916" s="1480" t="str">
        <f t="shared" si="142"/>
        <v/>
      </c>
      <c r="L916" s="906" t="s">
        <v>1398</v>
      </c>
      <c r="M916" s="1480">
        <v>899</v>
      </c>
      <c r="N916" s="1480"/>
      <c r="O916" s="1477"/>
      <c r="P916" s="1477"/>
      <c r="Q916" s="1477"/>
      <c r="R916" s="1480" t="s">
        <v>396</v>
      </c>
      <c r="S916" s="1477"/>
      <c r="T916" s="1480" t="str">
        <f t="shared" si="143"/>
        <v/>
      </c>
      <c r="U916" s="1477"/>
      <c r="V916" s="1477"/>
      <c r="W916" s="1477"/>
      <c r="X916" s="1477"/>
      <c r="Y916" s="1477"/>
      <c r="Z916" s="1477"/>
    </row>
    <row r="917" spans="1:26" x14ac:dyDescent="0.25">
      <c r="A917" s="1085" t="s">
        <v>1505</v>
      </c>
      <c r="B917" s="906" t="str">
        <f t="shared" ca="1" si="145"/>
        <v>P255</v>
      </c>
      <c r="C917" s="906" t="str">
        <f t="shared" ca="1" si="146"/>
        <v>P256</v>
      </c>
      <c r="D917" s="906" t="s">
        <v>1365</v>
      </c>
      <c r="E917" s="906" t="s">
        <v>1535</v>
      </c>
      <c r="F917" s="1480" t="s">
        <v>2067</v>
      </c>
      <c r="G917" s="1480" t="str">
        <f>IF(T917&lt;&gt;"","F","")</f>
        <v/>
      </c>
      <c r="H917" s="1480" t="s">
        <v>2063</v>
      </c>
      <c r="I917" s="1427" t="str">
        <f t="shared" si="141"/>
        <v/>
      </c>
      <c r="J917" s="1480" t="str">
        <f t="shared" si="144"/>
        <v/>
      </c>
      <c r="K917" s="1480" t="str">
        <f t="shared" si="142"/>
        <v/>
      </c>
      <c r="L917" s="906" t="s">
        <v>1505</v>
      </c>
      <c r="M917" s="1480">
        <v>900</v>
      </c>
      <c r="N917" s="1480"/>
      <c r="O917" s="1477"/>
      <c r="P917" s="1477"/>
      <c r="Q917" s="1477"/>
      <c r="R917" s="1480" t="s">
        <v>396</v>
      </c>
      <c r="S917" s="1477"/>
      <c r="T917" s="1480" t="str">
        <f t="shared" si="143"/>
        <v/>
      </c>
      <c r="U917" s="1477"/>
      <c r="V917" s="1477"/>
      <c r="W917" s="1477"/>
      <c r="X917" s="1477"/>
      <c r="Y917" s="1477"/>
      <c r="Z917" s="1477"/>
    </row>
    <row r="918" spans="1:26" x14ac:dyDescent="0.25">
      <c r="A918" s="1085" t="s">
        <v>1506</v>
      </c>
      <c r="B918" s="906" t="str">
        <f t="shared" ca="1" si="145"/>
        <v>R255</v>
      </c>
      <c r="C918" s="906" t="str">
        <f t="shared" ca="1" si="146"/>
        <v>R256</v>
      </c>
      <c r="D918" s="906" t="s">
        <v>1365</v>
      </c>
      <c r="E918" s="906" t="s">
        <v>1535</v>
      </c>
      <c r="F918" s="1480" t="s">
        <v>2068</v>
      </c>
      <c r="G918" s="1480" t="str">
        <f>IF(T918&lt;&gt;"","G","")</f>
        <v/>
      </c>
      <c r="H918" s="1480" t="s">
        <v>2063</v>
      </c>
      <c r="I918" s="1427" t="str">
        <f t="shared" si="141"/>
        <v/>
      </c>
      <c r="J918" s="1480" t="str">
        <f t="shared" si="144"/>
        <v/>
      </c>
      <c r="K918" s="1480" t="str">
        <f t="shared" si="142"/>
        <v/>
      </c>
      <c r="L918" s="906" t="s">
        <v>1506</v>
      </c>
      <c r="M918" s="1480">
        <v>901</v>
      </c>
      <c r="N918" s="1480"/>
      <c r="O918" s="1477"/>
      <c r="P918" s="1477"/>
      <c r="Q918" s="1477"/>
      <c r="R918" s="1480" t="s">
        <v>396</v>
      </c>
      <c r="S918" s="1477"/>
      <c r="T918" s="1480" t="str">
        <f t="shared" si="143"/>
        <v/>
      </c>
      <c r="U918" s="1477"/>
      <c r="V918" s="1477"/>
      <c r="W918" s="1477"/>
      <c r="X918" s="1477"/>
      <c r="Y918" s="1477"/>
      <c r="Z918" s="1477"/>
    </row>
    <row r="919" spans="1:26" x14ac:dyDescent="0.25">
      <c r="A919" s="1085" t="s">
        <v>1507</v>
      </c>
      <c r="B919" s="906" t="str">
        <f t="shared" ca="1" si="145"/>
        <v>T255</v>
      </c>
      <c r="C919" s="906" t="str">
        <f t="shared" ca="1" si="146"/>
        <v>T256</v>
      </c>
      <c r="D919" s="906" t="s">
        <v>1365</v>
      </c>
      <c r="E919" s="906" t="s">
        <v>1535</v>
      </c>
      <c r="F919" s="923" t="s">
        <v>1507</v>
      </c>
      <c r="G919" s="1480" t="str">
        <f>IF(T919&lt;&gt;"","AW","")</f>
        <v/>
      </c>
      <c r="H919" s="1480" t="s">
        <v>2063</v>
      </c>
      <c r="I919" s="1427" t="str">
        <f t="shared" si="141"/>
        <v/>
      </c>
      <c r="J919" s="1480" t="str">
        <f t="shared" si="144"/>
        <v/>
      </c>
      <c r="K919" s="1480" t="str">
        <f t="shared" si="142"/>
        <v/>
      </c>
      <c r="L919" s="906" t="s">
        <v>1507</v>
      </c>
      <c r="M919" s="1480">
        <v>902</v>
      </c>
      <c r="N919" s="1480"/>
      <c r="O919" s="1477"/>
      <c r="P919" s="1477"/>
      <c r="Q919" s="1477"/>
      <c r="R919" s="1480" t="s">
        <v>396</v>
      </c>
      <c r="S919" s="1477"/>
      <c r="T919" s="1480" t="str">
        <f t="shared" si="143"/>
        <v/>
      </c>
      <c r="U919" s="1477"/>
      <c r="V919" s="1477"/>
      <c r="W919" s="1477"/>
      <c r="X919" s="1477"/>
      <c r="Y919" s="1477"/>
      <c r="Z919" s="1477"/>
    </row>
    <row r="920" spans="1:26"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80" t="s">
        <v>1401</v>
      </c>
      <c r="G920" s="1480" t="str">
        <f>IF(T920&lt;&gt;"","C","")</f>
        <v/>
      </c>
      <c r="H920" s="1480" t="s">
        <v>2063</v>
      </c>
      <c r="I920" s="1427" t="str">
        <f t="shared" si="141"/>
        <v/>
      </c>
      <c r="J920" s="1480"/>
      <c r="K920" s="1480" t="str">
        <f t="shared" si="142"/>
        <v/>
      </c>
      <c r="L920" s="906" t="s">
        <v>1401</v>
      </c>
      <c r="M920" s="1480">
        <v>903</v>
      </c>
      <c r="N920" s="1480"/>
      <c r="O920" s="1477"/>
      <c r="P920" s="1477"/>
      <c r="Q920" s="1477"/>
      <c r="R920" s="1480" t="s">
        <v>396</v>
      </c>
      <c r="S920" s="1477"/>
      <c r="T920" s="1480" t="str">
        <f t="shared" si="143"/>
        <v/>
      </c>
      <c r="U920" s="1477"/>
      <c r="V920" s="1477"/>
      <c r="W920" s="1477"/>
      <c r="X920" s="1477"/>
      <c r="Y920" s="1477"/>
      <c r="Z920" s="1477"/>
    </row>
    <row r="921" spans="1:26"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80" t="s">
        <v>1402</v>
      </c>
      <c r="G921" s="1480" t="str">
        <f>IF(T921&lt;&gt;"","D","")</f>
        <v/>
      </c>
      <c r="H921" s="1480" t="s">
        <v>2063</v>
      </c>
      <c r="I921" s="1427" t="str">
        <f t="shared" si="141"/>
        <v/>
      </c>
      <c r="J921" s="1480"/>
      <c r="K921" s="1480" t="str">
        <f t="shared" si="142"/>
        <v/>
      </c>
      <c r="L921" s="906" t="s">
        <v>1402</v>
      </c>
      <c r="M921" s="1480">
        <v>904</v>
      </c>
      <c r="N921" s="1480"/>
      <c r="O921" s="1477"/>
      <c r="P921" s="1477"/>
      <c r="Q921" s="1477"/>
      <c r="R921" s="1480" t="s">
        <v>396</v>
      </c>
      <c r="S921" s="1477"/>
      <c r="T921" s="1480" t="str">
        <f t="shared" si="143"/>
        <v/>
      </c>
      <c r="U921" s="1477"/>
      <c r="V921" s="1477"/>
      <c r="W921" s="1477"/>
      <c r="X921" s="1477"/>
      <c r="Y921" s="1477"/>
      <c r="Z921" s="1477"/>
    </row>
    <row r="922" spans="1:26"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80" t="s">
        <v>1514</v>
      </c>
      <c r="G922" s="1480" t="str">
        <f>IF(T922&lt;&gt;"","AN","")</f>
        <v/>
      </c>
      <c r="H922" s="1480" t="s">
        <v>2063</v>
      </c>
      <c r="I922" s="1427" t="str">
        <f t="shared" si="141"/>
        <v/>
      </c>
      <c r="J922" s="1480" t="str">
        <f t="shared" si="144"/>
        <v/>
      </c>
      <c r="K922" s="1480" t="str">
        <f t="shared" si="142"/>
        <v/>
      </c>
      <c r="L922" s="907" t="s">
        <v>1514</v>
      </c>
      <c r="M922" s="1480">
        <v>905</v>
      </c>
      <c r="N922" s="1480"/>
      <c r="O922" s="1477"/>
      <c r="P922" s="1484" t="str" cm="1">
        <f t="array" aca="1" ref="P922" ca="1">_xlfn.CONCAT("F",RIGHT(B922, LEN(B922) - MAX(IF(ISNUMBER(MID(B922, ROW(INDIRECT("1:"&amp;LEN(B922))), 1) *1)=FALSE, ROW(INDIRECT("1:"&amp;LEN(B922))), 0))))</f>
        <v>F263</v>
      </c>
      <c r="Q922" s="1480" t="str" cm="1">
        <f t="array" aca="1" ref="Q922" ca="1">_xlfn.CONCAT("E",RIGHT(C922, LEN(C922) - MAX(IF(ISNUMBER(MID(C922, ROW(INDIRECT("1:"&amp;LEN(C922))), 1) *1)=FALSE, ROW(INDIRECT("1:"&amp;LEN(C922))), 0))))</f>
        <v>E263</v>
      </c>
      <c r="R922" s="1480" t="s">
        <v>396</v>
      </c>
      <c r="S922" s="1477"/>
      <c r="T922" s="1480" t="str">
        <f t="shared" si="143"/>
        <v/>
      </c>
      <c r="U922" s="1477"/>
      <c r="V922" s="1477"/>
      <c r="W922" s="1477"/>
      <c r="X922" s="1477"/>
      <c r="Y922" s="1477"/>
      <c r="Z922" s="1477"/>
    </row>
    <row r="923" spans="1:26"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80" t="s">
        <v>1511</v>
      </c>
      <c r="G923" s="1480" t="str">
        <f>IF(T923&lt;&gt;"","AL","")</f>
        <v/>
      </c>
      <c r="H923" s="1480" t="s">
        <v>2063</v>
      </c>
      <c r="I923" s="1427" t="str">
        <f t="shared" si="141"/>
        <v/>
      </c>
      <c r="J923" s="1480" t="str">
        <f t="shared" si="144"/>
        <v/>
      </c>
      <c r="K923" s="1480" t="str">
        <f t="shared" si="142"/>
        <v/>
      </c>
      <c r="L923" s="906" t="s">
        <v>1511</v>
      </c>
      <c r="M923" s="1480">
        <v>906</v>
      </c>
      <c r="N923" s="1480"/>
      <c r="O923" s="1477"/>
      <c r="P923" s="1477"/>
      <c r="Q923" s="1477"/>
      <c r="R923" s="1480" t="s">
        <v>396</v>
      </c>
      <c r="S923" s="1477"/>
      <c r="T923" s="1480" t="str">
        <f t="shared" si="143"/>
        <v/>
      </c>
      <c r="U923" s="1477"/>
      <c r="V923" s="1477"/>
      <c r="W923" s="1477"/>
      <c r="X923" s="1477"/>
      <c r="Y923" s="1477"/>
      <c r="Z923" s="1477"/>
    </row>
    <row r="924" spans="1:26"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80" t="s">
        <v>2069</v>
      </c>
      <c r="G924" s="1480" t="str">
        <f>IF(T924&lt;&gt;"","L","")</f>
        <v/>
      </c>
      <c r="H924" s="1480" t="s">
        <v>2063</v>
      </c>
      <c r="I924" s="1427" t="str">
        <f t="shared" si="141"/>
        <v/>
      </c>
      <c r="J924" s="1480" t="str">
        <f t="shared" si="144"/>
        <v/>
      </c>
      <c r="K924" s="1480" t="str">
        <f t="shared" si="142"/>
        <v/>
      </c>
      <c r="L924" s="906" t="s">
        <v>1525</v>
      </c>
      <c r="M924" s="1480">
        <v>907</v>
      </c>
      <c r="N924" s="1480"/>
      <c r="O924" s="1477"/>
      <c r="P924" s="1477"/>
      <c r="Q924" s="1477"/>
      <c r="R924" s="1480" t="s">
        <v>396</v>
      </c>
      <c r="S924" s="1477"/>
      <c r="T924" s="1480" t="str">
        <f t="shared" si="143"/>
        <v/>
      </c>
      <c r="U924" s="1477"/>
      <c r="V924" s="1477"/>
      <c r="W924" s="1477"/>
      <c r="X924" s="1477"/>
      <c r="Y924" s="1477"/>
      <c r="Z924" s="1477"/>
    </row>
    <row r="925" spans="1:26"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80" t="str">
        <f>IF(T925&lt;&gt;"","AH","")</f>
        <v/>
      </c>
      <c r="H925" s="1480" t="s">
        <v>2063</v>
      </c>
      <c r="I925" s="1427" t="str">
        <f t="shared" si="141"/>
        <v/>
      </c>
      <c r="J925" s="1480" t="str">
        <f t="shared" si="144"/>
        <v/>
      </c>
      <c r="K925" s="1480" t="str">
        <f t="shared" si="142"/>
        <v/>
      </c>
      <c r="L925" s="906" t="s">
        <v>1403</v>
      </c>
      <c r="M925" s="1480">
        <v>908</v>
      </c>
      <c r="N925" s="1480"/>
      <c r="O925" s="1477"/>
      <c r="P925" s="1477"/>
      <c r="Q925" s="1477"/>
      <c r="R925" s="1480" t="s">
        <v>396</v>
      </c>
      <c r="S925" s="1477"/>
      <c r="T925" s="1480" t="str">
        <f t="shared" si="143"/>
        <v/>
      </c>
      <c r="U925" s="1477"/>
      <c r="V925" s="1477"/>
      <c r="W925" s="1477"/>
      <c r="X925" s="1477"/>
      <c r="Y925" s="1477"/>
      <c r="Z925" s="1477"/>
    </row>
    <row r="926" spans="1:26"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80"/>
      <c r="H926" s="1480"/>
      <c r="I926" s="1427" t="str">
        <f t="shared" si="141"/>
        <v/>
      </c>
      <c r="J926" s="1480"/>
      <c r="K926" s="1480" t="str">
        <f t="shared" si="142"/>
        <v/>
      </c>
      <c r="L926" s="906" t="s">
        <v>1404</v>
      </c>
      <c r="M926" s="1480">
        <v>909</v>
      </c>
      <c r="N926" s="1480"/>
      <c r="O926" s="1477"/>
      <c r="P926" s="1477"/>
      <c r="Q926" s="1477"/>
      <c r="R926" s="1480" t="s">
        <v>396</v>
      </c>
      <c r="S926" s="1477"/>
      <c r="T926" s="1480" t="str">
        <f t="shared" si="143"/>
        <v/>
      </c>
      <c r="U926" s="1477"/>
      <c r="V926" s="1477"/>
      <c r="W926" s="1477"/>
      <c r="X926" s="1477"/>
      <c r="Y926" s="1477"/>
      <c r="Z926" s="1477"/>
    </row>
    <row r="927" spans="1:26"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80" t="s">
        <v>1985</v>
      </c>
      <c r="G927" s="1480" t="str">
        <f>IF(T927&lt;&gt;"","AI","")</f>
        <v/>
      </c>
      <c r="H927" s="1480" t="s">
        <v>2063</v>
      </c>
      <c r="I927" s="1427" t="str">
        <f t="shared" si="141"/>
        <v/>
      </c>
      <c r="J927" s="1480"/>
      <c r="K927" s="1480" t="str">
        <f t="shared" si="142"/>
        <v/>
      </c>
      <c r="L927" s="906" t="s">
        <v>1405</v>
      </c>
      <c r="M927" s="1480">
        <v>910</v>
      </c>
      <c r="N927" s="1480"/>
      <c r="O927" s="1477"/>
      <c r="P927" s="1477"/>
      <c r="Q927" s="1477"/>
      <c r="R927" s="1480" t="s">
        <v>396</v>
      </c>
      <c r="S927" s="1477"/>
      <c r="T927" s="1480" t="str">
        <f t="shared" si="143"/>
        <v/>
      </c>
      <c r="U927" s="1477"/>
      <c r="V927" s="1477"/>
      <c r="W927" s="1477"/>
      <c r="X927" s="1477"/>
      <c r="Y927" s="1477"/>
      <c r="Z927" s="1477"/>
    </row>
    <row r="928" spans="1:26"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80" t="s">
        <v>1527</v>
      </c>
      <c r="G928" s="1480" t="str">
        <f>IF(T928&lt;&gt;"","P","")</f>
        <v/>
      </c>
      <c r="H928" s="1480" t="s">
        <v>2063</v>
      </c>
      <c r="I928" s="1427" t="str">
        <f t="shared" si="141"/>
        <v/>
      </c>
      <c r="J928" s="1480" t="str">
        <f t="shared" si="144"/>
        <v/>
      </c>
      <c r="K928" s="1480" t="str">
        <f t="shared" si="142"/>
        <v/>
      </c>
      <c r="L928" s="906" t="s">
        <v>1527</v>
      </c>
      <c r="M928" s="1480">
        <v>911</v>
      </c>
      <c r="N928" s="1480"/>
      <c r="O928" s="1477"/>
      <c r="P928" s="1477"/>
      <c r="Q928" s="1477"/>
      <c r="R928" s="1480" t="s">
        <v>396</v>
      </c>
      <c r="S928" s="1477"/>
      <c r="T928" s="1480" t="str">
        <f>IF(Q$911="Yes",18,"")</f>
        <v/>
      </c>
      <c r="U928" s="1477"/>
      <c r="V928" s="1477"/>
      <c r="W928" s="1477"/>
      <c r="X928" s="1477"/>
      <c r="Y928" s="1477"/>
      <c r="Z928" s="1477"/>
    </row>
    <row r="929" spans="1:26"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80" t="s">
        <v>1510</v>
      </c>
      <c r="G929" s="1480" t="str">
        <f>IF(T929&lt;&gt;"","A","")</f>
        <v/>
      </c>
      <c r="H929" s="1480" t="s">
        <v>2063</v>
      </c>
      <c r="I929" s="1427" t="str">
        <f t="shared" si="141"/>
        <v/>
      </c>
      <c r="J929" s="1480"/>
      <c r="K929" s="1480" t="str">
        <f t="shared" si="142"/>
        <v/>
      </c>
      <c r="L929" s="906" t="s">
        <v>1510</v>
      </c>
      <c r="M929" s="1480">
        <v>912</v>
      </c>
      <c r="N929" s="1480"/>
      <c r="O929" s="1477" t="s">
        <v>728</v>
      </c>
      <c r="P929" s="1477"/>
      <c r="Q929" s="1477"/>
      <c r="R929" s="1480" t="s">
        <v>396</v>
      </c>
      <c r="S929" s="1477"/>
      <c r="T929" s="1480" t="str">
        <f t="shared" ref="T929:T946" si="147">IF(Q$930="Yes",19,"")</f>
        <v/>
      </c>
      <c r="U929" s="1477"/>
      <c r="V929" s="1477"/>
      <c r="W929" s="1477"/>
      <c r="X929" s="1477"/>
      <c r="Y929" s="1477"/>
      <c r="Z929" s="1477"/>
    </row>
    <row r="930" spans="1:26"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80"/>
      <c r="G930" s="1480"/>
      <c r="H930" s="1480"/>
      <c r="I930" s="1427" t="str">
        <f t="shared" si="141"/>
        <v/>
      </c>
      <c r="J930" s="1480" t="str">
        <f t="shared" ref="J930:J947" si="148">IF(M930&lt;&gt;"",IF($Q$930="Yes",Q$1&amp;M930,""))</f>
        <v/>
      </c>
      <c r="K930" s="1480" t="str">
        <f t="shared" si="142"/>
        <v/>
      </c>
      <c r="L930" s="906" t="s">
        <v>1724</v>
      </c>
      <c r="M930" s="1480">
        <v>913</v>
      </c>
      <c r="N930" s="1480"/>
      <c r="O930" s="1477">
        <f>'Configurable Tab'!H21</f>
        <v>267</v>
      </c>
      <c r="P930" s="1477"/>
      <c r="Q930" s="1477" t="s">
        <v>651</v>
      </c>
      <c r="R930" s="1480" t="s">
        <v>396</v>
      </c>
      <c r="S930" s="1477"/>
      <c r="T930" s="1480" t="str">
        <f t="shared" si="147"/>
        <v/>
      </c>
      <c r="U930" s="1477"/>
      <c r="V930" s="1477"/>
      <c r="W930" s="1477"/>
      <c r="X930" s="1477"/>
      <c r="Y930" s="1477"/>
      <c r="Z930" s="1477"/>
    </row>
    <row r="931" spans="1:26"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80" t="s">
        <v>1399</v>
      </c>
      <c r="G931" s="1480" t="str">
        <f>IF(T931&lt;&gt;"","B","")</f>
        <v/>
      </c>
      <c r="H931" s="1480" t="s">
        <v>2063</v>
      </c>
      <c r="I931" s="1427" t="str">
        <f t="shared" si="141"/>
        <v/>
      </c>
      <c r="J931" s="1480"/>
      <c r="K931" s="1480" t="str">
        <f t="shared" si="142"/>
        <v/>
      </c>
      <c r="L931" s="906" t="s">
        <v>1399</v>
      </c>
      <c r="M931" s="1480">
        <v>914</v>
      </c>
      <c r="N931" s="1480"/>
      <c r="O931" s="1477" t="s">
        <v>729</v>
      </c>
      <c r="P931" s="1477"/>
      <c r="Q931" s="1477"/>
      <c r="R931" s="1480" t="s">
        <v>396</v>
      </c>
      <c r="S931" s="1477"/>
      <c r="T931" s="1480" t="str">
        <f t="shared" si="147"/>
        <v/>
      </c>
      <c r="U931" s="1477"/>
      <c r="V931" s="1477"/>
      <c r="W931" s="1477"/>
      <c r="X931" s="1477"/>
      <c r="Y931" s="1477"/>
      <c r="Z931" s="1477"/>
    </row>
    <row r="932" spans="1:26" x14ac:dyDescent="0.25">
      <c r="A932" s="1107" t="s">
        <v>1396</v>
      </c>
      <c r="B932" s="906" t="str">
        <f t="shared" ref="B932:B938" ca="1" si="149">_xlfn.CONCAT(IFERROR(SUBSTITUTE(ADDRESS(1,MATCH(A932,INDIRECT("'"&amp;E932&amp;"'"&amp;"!A" &amp; $O$930 + 2 &amp; ":Z" &amp; $O$930 + 2),0),4),1,""),""),$O$930 + 2)</f>
        <v>H269</v>
      </c>
      <c r="C932" s="906" t="str">
        <f t="shared" ref="C932:C938" ca="1" si="150">_xlfn.CONCAT(IFERROR(SUBSTITUTE(ADDRESS(1,MATCH(A932,INDIRECT("'"&amp;E932&amp;"'"&amp;"!A" &amp; $O$930 + 2 &amp; ":Z" &amp; $O$930 + 2),0),4),1,""),""),$O$930 + 3)</f>
        <v>H270</v>
      </c>
      <c r="D932" s="906" t="s">
        <v>1365</v>
      </c>
      <c r="E932" s="906" t="s">
        <v>1535</v>
      </c>
      <c r="F932" s="1480" t="s">
        <v>2064</v>
      </c>
      <c r="G932" s="1480" t="str">
        <f>IF(T932&lt;&gt;"","E","")</f>
        <v/>
      </c>
      <c r="H932" s="1480" t="s">
        <v>2063</v>
      </c>
      <c r="I932" s="1427" t="str">
        <f t="shared" si="141"/>
        <v/>
      </c>
      <c r="J932" s="1480" t="str">
        <f t="shared" si="148"/>
        <v/>
      </c>
      <c r="K932" s="1480" t="str">
        <f t="shared" si="142"/>
        <v/>
      </c>
      <c r="L932" s="906" t="s">
        <v>1396</v>
      </c>
      <c r="M932" s="1480">
        <v>915</v>
      </c>
      <c r="N932" s="1480"/>
      <c r="O932" s="1477">
        <f>'Configurable Tab'!I21</f>
        <v>280</v>
      </c>
      <c r="P932" s="1477"/>
      <c r="Q932" s="1477"/>
      <c r="R932" s="1480" t="s">
        <v>396</v>
      </c>
      <c r="S932" s="1477"/>
      <c r="T932" s="1480" t="str">
        <f t="shared" si="147"/>
        <v/>
      </c>
      <c r="U932" s="1477"/>
      <c r="V932" s="1477"/>
      <c r="W932" s="1477"/>
      <c r="X932" s="1477"/>
      <c r="Y932" s="1477"/>
      <c r="Z932" s="1477"/>
    </row>
    <row r="933" spans="1:26" x14ac:dyDescent="0.25">
      <c r="A933" s="1107" t="s">
        <v>1397</v>
      </c>
      <c r="B933" s="906" t="str">
        <f t="shared" ca="1" si="149"/>
        <v>J269</v>
      </c>
      <c r="C933" s="906" t="str">
        <f t="shared" ca="1" si="150"/>
        <v>J270</v>
      </c>
      <c r="D933" s="906" t="s">
        <v>1365</v>
      </c>
      <c r="E933" s="906" t="s">
        <v>1535</v>
      </c>
      <c r="F933" s="1480" t="s">
        <v>2065</v>
      </c>
      <c r="G933" s="1480" t="str">
        <f>IF(T933&lt;&gt;"","I","")</f>
        <v/>
      </c>
      <c r="H933" s="1480" t="s">
        <v>2063</v>
      </c>
      <c r="I933" s="1427" t="str">
        <f t="shared" si="141"/>
        <v/>
      </c>
      <c r="J933" s="1480" t="str">
        <f t="shared" si="148"/>
        <v/>
      </c>
      <c r="K933" s="1480" t="str">
        <f t="shared" si="142"/>
        <v/>
      </c>
      <c r="L933" s="906" t="s">
        <v>1397</v>
      </c>
      <c r="M933" s="1480">
        <v>916</v>
      </c>
      <c r="N933" s="1480"/>
      <c r="O933" s="1477" t="s">
        <v>1726</v>
      </c>
      <c r="P933" s="1477"/>
      <c r="Q933" s="1477"/>
      <c r="R933" s="1480" t="s">
        <v>396</v>
      </c>
      <c r="S933" s="1477"/>
      <c r="T933" s="1480" t="str">
        <f t="shared" si="147"/>
        <v/>
      </c>
      <c r="U933" s="1477"/>
      <c r="V933" s="1477"/>
      <c r="W933" s="1477"/>
      <c r="X933" s="1477"/>
      <c r="Y933" s="1477"/>
      <c r="Z933" s="1477"/>
    </row>
    <row r="934" spans="1:26" x14ac:dyDescent="0.25">
      <c r="A934" s="1107" t="s">
        <v>1413</v>
      </c>
      <c r="B934" s="906" t="str">
        <f t="shared" ca="1" si="149"/>
        <v>L269</v>
      </c>
      <c r="C934" s="906" t="str">
        <f t="shared" ca="1" si="150"/>
        <v>L270</v>
      </c>
      <c r="D934" s="906" t="s">
        <v>1365</v>
      </c>
      <c r="E934" s="906" t="s">
        <v>1535</v>
      </c>
      <c r="F934" s="1480" t="s">
        <v>2066</v>
      </c>
      <c r="G934" s="1480" t="str">
        <f>IF(T934&lt;&gt;"","H","")</f>
        <v/>
      </c>
      <c r="H934" s="1480" t="s">
        <v>2063</v>
      </c>
      <c r="I934" s="1427" t="str">
        <f t="shared" si="141"/>
        <v/>
      </c>
      <c r="J934" s="1480" t="str">
        <f t="shared" si="148"/>
        <v/>
      </c>
      <c r="K934" s="1480" t="str">
        <f t="shared" si="142"/>
        <v/>
      </c>
      <c r="L934" s="906" t="s">
        <v>1413</v>
      </c>
      <c r="M934" s="1480">
        <v>917</v>
      </c>
      <c r="N934" s="1480"/>
      <c r="O934" s="1477"/>
      <c r="P934" s="1477"/>
      <c r="Q934" s="1477"/>
      <c r="R934" s="1480" t="s">
        <v>396</v>
      </c>
      <c r="S934" s="1477"/>
      <c r="T934" s="1480" t="str">
        <f t="shared" si="147"/>
        <v/>
      </c>
      <c r="U934" s="1477"/>
      <c r="V934" s="1477"/>
      <c r="W934" s="1477"/>
      <c r="X934" s="1477"/>
      <c r="Y934" s="1477"/>
      <c r="Z934" s="1477"/>
    </row>
    <row r="935" spans="1:26" x14ac:dyDescent="0.25">
      <c r="A935" s="1107" t="s">
        <v>1398</v>
      </c>
      <c r="B935" s="906" t="str">
        <f t="shared" ca="1" si="149"/>
        <v>N269</v>
      </c>
      <c r="C935" s="906" t="str">
        <f t="shared" ca="1" si="150"/>
        <v>N270</v>
      </c>
      <c r="D935" s="906" t="s">
        <v>1365</v>
      </c>
      <c r="E935" s="906" t="s">
        <v>1535</v>
      </c>
      <c r="F935" s="1480" t="s">
        <v>1398</v>
      </c>
      <c r="G935" s="1480" t="str">
        <f>IF(T935&lt;&gt;"",IF(Q933="Credit Memo","J",IF(Q933="Check","K","")),"")</f>
        <v/>
      </c>
      <c r="H935" s="1480" t="s">
        <v>2063</v>
      </c>
      <c r="I935" s="1427" t="str">
        <f t="shared" si="141"/>
        <v/>
      </c>
      <c r="J935" s="1480" t="str">
        <f t="shared" si="148"/>
        <v/>
      </c>
      <c r="K935" s="1480" t="str">
        <f t="shared" si="142"/>
        <v/>
      </c>
      <c r="L935" s="906" t="s">
        <v>1398</v>
      </c>
      <c r="M935" s="1480">
        <v>918</v>
      </c>
      <c r="N935" s="1480"/>
      <c r="O935" s="1477"/>
      <c r="P935" s="1477"/>
      <c r="Q935" s="1477"/>
      <c r="R935" s="1480" t="s">
        <v>396</v>
      </c>
      <c r="S935" s="1477"/>
      <c r="T935" s="1480" t="str">
        <f t="shared" si="147"/>
        <v/>
      </c>
      <c r="U935" s="1477"/>
      <c r="V935" s="1477"/>
      <c r="W935" s="1477"/>
      <c r="X935" s="1477"/>
      <c r="Y935" s="1477"/>
      <c r="Z935" s="1477"/>
    </row>
    <row r="936" spans="1:26" x14ac:dyDescent="0.25">
      <c r="A936" s="1107" t="s">
        <v>1505</v>
      </c>
      <c r="B936" s="906" t="str">
        <f t="shared" ca="1" si="149"/>
        <v>P269</v>
      </c>
      <c r="C936" s="906" t="str">
        <f t="shared" ca="1" si="150"/>
        <v>P270</v>
      </c>
      <c r="D936" s="906" t="s">
        <v>1365</v>
      </c>
      <c r="E936" s="906" t="s">
        <v>1535</v>
      </c>
      <c r="F936" s="1480" t="s">
        <v>2067</v>
      </c>
      <c r="G936" s="1480" t="str">
        <f>IF(T936&lt;&gt;"","F","")</f>
        <v/>
      </c>
      <c r="H936" s="1480" t="s">
        <v>2063</v>
      </c>
      <c r="I936" s="1427" t="str">
        <f t="shared" si="141"/>
        <v/>
      </c>
      <c r="J936" s="1480" t="str">
        <f t="shared" si="148"/>
        <v/>
      </c>
      <c r="K936" s="1480" t="str">
        <f t="shared" si="142"/>
        <v/>
      </c>
      <c r="L936" s="906" t="s">
        <v>1505</v>
      </c>
      <c r="M936" s="1480">
        <v>919</v>
      </c>
      <c r="N936" s="1480"/>
      <c r="O936" s="1477"/>
      <c r="P936" s="1477"/>
      <c r="Q936" s="1477"/>
      <c r="R936" s="1480" t="s">
        <v>396</v>
      </c>
      <c r="S936" s="1477"/>
      <c r="T936" s="1480" t="str">
        <f t="shared" si="147"/>
        <v/>
      </c>
      <c r="U936" s="1477"/>
      <c r="V936" s="1477"/>
      <c r="W936" s="1477"/>
      <c r="X936" s="1477"/>
      <c r="Y936" s="1477"/>
      <c r="Z936" s="1477"/>
    </row>
    <row r="937" spans="1:26" x14ac:dyDescent="0.25">
      <c r="A937" s="1107" t="s">
        <v>1506</v>
      </c>
      <c r="B937" s="906" t="str">
        <f t="shared" ca="1" si="149"/>
        <v>R269</v>
      </c>
      <c r="C937" s="906" t="str">
        <f t="shared" ca="1" si="150"/>
        <v>R270</v>
      </c>
      <c r="D937" s="906" t="s">
        <v>1365</v>
      </c>
      <c r="E937" s="906" t="s">
        <v>1535</v>
      </c>
      <c r="F937" s="1480" t="s">
        <v>2068</v>
      </c>
      <c r="G937" s="1480" t="str">
        <f>IF(T937&lt;&gt;"","G","")</f>
        <v/>
      </c>
      <c r="H937" s="1480" t="s">
        <v>2063</v>
      </c>
      <c r="I937" s="1427" t="str">
        <f t="shared" si="141"/>
        <v/>
      </c>
      <c r="J937" s="1480" t="str">
        <f t="shared" si="148"/>
        <v/>
      </c>
      <c r="K937" s="1480" t="str">
        <f t="shared" si="142"/>
        <v/>
      </c>
      <c r="L937" s="906" t="s">
        <v>1506</v>
      </c>
      <c r="M937" s="1480">
        <v>920</v>
      </c>
      <c r="N937" s="1480"/>
      <c r="O937" s="1477"/>
      <c r="P937" s="1477"/>
      <c r="Q937" s="1477"/>
      <c r="R937" s="1480" t="s">
        <v>396</v>
      </c>
      <c r="S937" s="1477"/>
      <c r="T937" s="1480" t="str">
        <f t="shared" si="147"/>
        <v/>
      </c>
      <c r="U937" s="1477"/>
      <c r="V937" s="1477"/>
      <c r="W937" s="1477"/>
      <c r="X937" s="1477"/>
      <c r="Y937" s="1477"/>
      <c r="Z937" s="1477"/>
    </row>
    <row r="938" spans="1:26" x14ac:dyDescent="0.25">
      <c r="A938" s="1107" t="s">
        <v>1507</v>
      </c>
      <c r="B938" s="906" t="str">
        <f t="shared" ca="1" si="149"/>
        <v>T269</v>
      </c>
      <c r="C938" s="906" t="str">
        <f t="shared" ca="1" si="150"/>
        <v>T270</v>
      </c>
      <c r="D938" s="906" t="s">
        <v>1365</v>
      </c>
      <c r="E938" s="906" t="s">
        <v>1535</v>
      </c>
      <c r="F938" s="923" t="s">
        <v>1507</v>
      </c>
      <c r="G938" s="1480" t="str">
        <f>IF(T938&lt;&gt;"","AW","")</f>
        <v/>
      </c>
      <c r="H938" s="1480" t="s">
        <v>2063</v>
      </c>
      <c r="I938" s="1427" t="str">
        <f t="shared" si="141"/>
        <v/>
      </c>
      <c r="J938" s="1480" t="str">
        <f t="shared" si="148"/>
        <v/>
      </c>
      <c r="K938" s="1480" t="str">
        <f t="shared" si="142"/>
        <v/>
      </c>
      <c r="L938" s="906" t="s">
        <v>1507</v>
      </c>
      <c r="M938" s="1480">
        <v>921</v>
      </c>
      <c r="N938" s="1480"/>
      <c r="O938" s="1477"/>
      <c r="P938" s="1477"/>
      <c r="Q938" s="1477"/>
      <c r="R938" s="1480" t="s">
        <v>396</v>
      </c>
      <c r="S938" s="1477"/>
      <c r="T938" s="1480" t="str">
        <f t="shared" si="147"/>
        <v/>
      </c>
      <c r="U938" s="1477"/>
      <c r="V938" s="1477"/>
      <c r="W938" s="1477"/>
      <c r="X938" s="1477"/>
      <c r="Y938" s="1477"/>
      <c r="Z938" s="1477"/>
    </row>
    <row r="939" spans="1:26"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80" t="s">
        <v>1401</v>
      </c>
      <c r="G939" s="1480" t="str">
        <f>IF(T939&lt;&gt;"","C","")</f>
        <v/>
      </c>
      <c r="H939" s="1480" t="s">
        <v>2063</v>
      </c>
      <c r="I939" s="1427" t="str">
        <f t="shared" si="141"/>
        <v/>
      </c>
      <c r="J939" s="1480"/>
      <c r="K939" s="1480" t="str">
        <f t="shared" si="142"/>
        <v/>
      </c>
      <c r="L939" s="906" t="s">
        <v>1401</v>
      </c>
      <c r="M939" s="1480">
        <v>922</v>
      </c>
      <c r="N939" s="1480"/>
      <c r="O939" s="1477"/>
      <c r="P939" s="1477"/>
      <c r="Q939" s="1477"/>
      <c r="R939" s="1480" t="s">
        <v>396</v>
      </c>
      <c r="S939" s="1477"/>
      <c r="T939" s="1480" t="str">
        <f t="shared" si="147"/>
        <v/>
      </c>
      <c r="U939" s="1477"/>
      <c r="V939" s="1477"/>
      <c r="W939" s="1477"/>
      <c r="X939" s="1477"/>
      <c r="Y939" s="1477"/>
      <c r="Z939" s="1477"/>
    </row>
    <row r="940" spans="1:26"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80" t="s">
        <v>1402</v>
      </c>
      <c r="G940" s="1480" t="str">
        <f>IF(T940&lt;&gt;"","D","")</f>
        <v/>
      </c>
      <c r="H940" s="1480" t="s">
        <v>2063</v>
      </c>
      <c r="I940" s="1427" t="str">
        <f t="shared" si="141"/>
        <v/>
      </c>
      <c r="J940" s="1480"/>
      <c r="K940" s="1480" t="str">
        <f t="shared" si="142"/>
        <v/>
      </c>
      <c r="L940" s="906" t="s">
        <v>1402</v>
      </c>
      <c r="M940" s="1480">
        <v>923</v>
      </c>
      <c r="N940" s="1480"/>
      <c r="O940" s="1477"/>
      <c r="P940" s="1477"/>
      <c r="Q940" s="1477"/>
      <c r="R940" s="1480" t="s">
        <v>396</v>
      </c>
      <c r="S940" s="1477"/>
      <c r="T940" s="1480" t="str">
        <f t="shared" si="147"/>
        <v/>
      </c>
      <c r="U940" s="1477"/>
      <c r="V940" s="1477"/>
      <c r="W940" s="1477"/>
      <c r="X940" s="1477"/>
      <c r="Y940" s="1477"/>
      <c r="Z940" s="1477"/>
    </row>
    <row r="941" spans="1:26"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80" t="s">
        <v>1514</v>
      </c>
      <c r="G941" s="1480" t="str">
        <f>IF(T941&lt;&gt;"","AN","")</f>
        <v/>
      </c>
      <c r="H941" s="1480" t="s">
        <v>2063</v>
      </c>
      <c r="I941" s="1427" t="str">
        <f t="shared" si="141"/>
        <v/>
      </c>
      <c r="J941" s="1480" t="str">
        <f t="shared" si="148"/>
        <v/>
      </c>
      <c r="K941" s="1480" t="str">
        <f t="shared" si="142"/>
        <v/>
      </c>
      <c r="L941" s="907" t="s">
        <v>1514</v>
      </c>
      <c r="M941" s="1480">
        <v>924</v>
      </c>
      <c r="N941" s="1480"/>
      <c r="O941" s="1477"/>
      <c r="P941" s="1484" t="str" cm="1">
        <f t="array" aca="1" ref="P941" ca="1">_xlfn.CONCAT("F",RIGHT(B941, LEN(B941) - MAX(IF(ISNUMBER(MID(B941, ROW(INDIRECT("1:"&amp;LEN(B941))), 1) *1)=FALSE, ROW(INDIRECT("1:"&amp;LEN(B941))), 0))))</f>
        <v>F277</v>
      </c>
      <c r="Q941" s="1480" t="str" cm="1">
        <f t="array" aca="1" ref="Q941" ca="1">_xlfn.CONCAT("E",RIGHT(C941, LEN(C941) - MAX(IF(ISNUMBER(MID(C941, ROW(INDIRECT("1:"&amp;LEN(C941))), 1) *1)=FALSE, ROW(INDIRECT("1:"&amp;LEN(C941))), 0))))</f>
        <v>E277</v>
      </c>
      <c r="R941" s="1480" t="s">
        <v>396</v>
      </c>
      <c r="S941" s="1477"/>
      <c r="T941" s="1480" t="str">
        <f t="shared" si="147"/>
        <v/>
      </c>
      <c r="U941" s="1477"/>
      <c r="V941" s="1477"/>
      <c r="W941" s="1477"/>
      <c r="X941" s="1477"/>
      <c r="Y941" s="1477"/>
      <c r="Z941" s="1477"/>
    </row>
    <row r="942" spans="1:26"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80" t="s">
        <v>1511</v>
      </c>
      <c r="G942" s="1480" t="str">
        <f>IF(T942&lt;&gt;"","AL","")</f>
        <v/>
      </c>
      <c r="H942" s="1480" t="s">
        <v>2063</v>
      </c>
      <c r="I942" s="1427" t="str">
        <f t="shared" si="141"/>
        <v/>
      </c>
      <c r="J942" s="1480" t="str">
        <f t="shared" si="148"/>
        <v/>
      </c>
      <c r="K942" s="1480" t="str">
        <f t="shared" si="142"/>
        <v/>
      </c>
      <c r="L942" s="906" t="s">
        <v>1511</v>
      </c>
      <c r="M942" s="1480">
        <v>925</v>
      </c>
      <c r="N942" s="1480"/>
      <c r="O942" s="1477"/>
      <c r="P942" s="1477"/>
      <c r="Q942" s="1477"/>
      <c r="R942" s="1480" t="s">
        <v>396</v>
      </c>
      <c r="S942" s="1477"/>
      <c r="T942" s="1480" t="str">
        <f t="shared" si="147"/>
        <v/>
      </c>
      <c r="U942" s="1477"/>
      <c r="V942" s="1477"/>
      <c r="W942" s="1477"/>
      <c r="X942" s="1477"/>
      <c r="Y942" s="1477"/>
      <c r="Z942" s="1477"/>
    </row>
    <row r="943" spans="1:26"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80" t="s">
        <v>2069</v>
      </c>
      <c r="G943" s="1480" t="str">
        <f>IF(T943&lt;&gt;"","L","")</f>
        <v/>
      </c>
      <c r="H943" s="1480" t="s">
        <v>2063</v>
      </c>
      <c r="I943" s="1427" t="str">
        <f t="shared" si="141"/>
        <v/>
      </c>
      <c r="J943" s="1480" t="str">
        <f t="shared" si="148"/>
        <v/>
      </c>
      <c r="K943" s="1480" t="str">
        <f t="shared" si="142"/>
        <v/>
      </c>
      <c r="L943" s="906" t="s">
        <v>1525</v>
      </c>
      <c r="M943" s="1480">
        <v>926</v>
      </c>
      <c r="N943" s="1480"/>
      <c r="O943" s="1477"/>
      <c r="P943" s="1477"/>
      <c r="Q943" s="1477"/>
      <c r="R943" s="1480" t="s">
        <v>396</v>
      </c>
      <c r="S943" s="1477"/>
      <c r="T943" s="1480" t="str">
        <f t="shared" si="147"/>
        <v/>
      </c>
      <c r="U943" s="1477"/>
      <c r="V943" s="1477"/>
      <c r="W943" s="1477"/>
      <c r="X943" s="1477"/>
      <c r="Y943" s="1477"/>
      <c r="Z943" s="1477"/>
    </row>
    <row r="944" spans="1:26"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80" t="str">
        <f>IF(T944&lt;&gt;"","AH","")</f>
        <v/>
      </c>
      <c r="H944" s="1480" t="s">
        <v>2063</v>
      </c>
      <c r="I944" s="1427" t="str">
        <f t="shared" si="141"/>
        <v/>
      </c>
      <c r="J944" s="1480" t="str">
        <f t="shared" si="148"/>
        <v/>
      </c>
      <c r="K944" s="1480" t="str">
        <f t="shared" si="142"/>
        <v/>
      </c>
      <c r="L944" s="906" t="s">
        <v>1403</v>
      </c>
      <c r="M944" s="1480">
        <v>927</v>
      </c>
      <c r="N944" s="1480"/>
      <c r="O944" s="1477"/>
      <c r="P944" s="1477"/>
      <c r="Q944" s="1477"/>
      <c r="R944" s="1480" t="s">
        <v>396</v>
      </c>
      <c r="S944" s="1477"/>
      <c r="T944" s="1480" t="str">
        <f t="shared" si="147"/>
        <v/>
      </c>
      <c r="U944" s="1477"/>
      <c r="V944" s="1477"/>
      <c r="W944" s="1477"/>
      <c r="X944" s="1477"/>
      <c r="Y944" s="1477"/>
      <c r="Z944" s="1477"/>
    </row>
    <row r="945" spans="1:26"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80"/>
      <c r="H945" s="1480"/>
      <c r="I945" s="1427" t="str">
        <f t="shared" si="141"/>
        <v/>
      </c>
      <c r="J945" s="1480"/>
      <c r="K945" s="1480" t="str">
        <f t="shared" si="142"/>
        <v/>
      </c>
      <c r="L945" s="906" t="s">
        <v>1404</v>
      </c>
      <c r="M945" s="1480">
        <v>928</v>
      </c>
      <c r="N945" s="1480"/>
      <c r="O945" s="1477"/>
      <c r="P945" s="1477"/>
      <c r="Q945" s="1477"/>
      <c r="R945" s="1480" t="s">
        <v>396</v>
      </c>
      <c r="S945" s="1477"/>
      <c r="T945" s="1480" t="str">
        <f t="shared" si="147"/>
        <v/>
      </c>
      <c r="U945" s="1477"/>
      <c r="V945" s="1477"/>
      <c r="W945" s="1477"/>
      <c r="X945" s="1477"/>
      <c r="Y945" s="1477"/>
      <c r="Z945" s="1477"/>
    </row>
    <row r="946" spans="1:26"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80" t="s">
        <v>1985</v>
      </c>
      <c r="G946" s="1480" t="str">
        <f>IF(T946&lt;&gt;"","AI","")</f>
        <v/>
      </c>
      <c r="H946" s="1480" t="s">
        <v>2063</v>
      </c>
      <c r="I946" s="1427" t="str">
        <f t="shared" si="141"/>
        <v/>
      </c>
      <c r="J946" s="1480"/>
      <c r="K946" s="1480" t="str">
        <f t="shared" si="142"/>
        <v/>
      </c>
      <c r="L946" s="906" t="s">
        <v>1405</v>
      </c>
      <c r="M946" s="1480">
        <v>929</v>
      </c>
      <c r="N946" s="1480"/>
      <c r="O946" s="1477"/>
      <c r="P946" s="1477"/>
      <c r="Q946" s="1477"/>
      <c r="R946" s="1480" t="s">
        <v>396</v>
      </c>
      <c r="S946" s="1477"/>
      <c r="T946" s="1480" t="str">
        <f t="shared" si="147"/>
        <v/>
      </c>
      <c r="U946" s="1477"/>
      <c r="V946" s="1477"/>
      <c r="W946" s="1477"/>
      <c r="X946" s="1477"/>
      <c r="Y946" s="1477"/>
      <c r="Z946" s="1477"/>
    </row>
    <row r="947" spans="1:26"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80" t="s">
        <v>1527</v>
      </c>
      <c r="G947" s="1480" t="str">
        <f>IF(T947&lt;&gt;"","P","")</f>
        <v/>
      </c>
      <c r="H947" s="1480" t="s">
        <v>2063</v>
      </c>
      <c r="I947" s="1427" t="str">
        <f t="shared" si="141"/>
        <v/>
      </c>
      <c r="J947" s="1480" t="str">
        <f t="shared" si="148"/>
        <v/>
      </c>
      <c r="K947" s="1480" t="str">
        <f t="shared" si="142"/>
        <v/>
      </c>
      <c r="L947" s="906" t="s">
        <v>1527</v>
      </c>
      <c r="M947" s="1480">
        <v>930</v>
      </c>
      <c r="N947" s="1480"/>
      <c r="O947" s="1477"/>
      <c r="P947" s="1477"/>
      <c r="Q947" s="1477"/>
      <c r="R947" s="1480" t="s">
        <v>396</v>
      </c>
      <c r="S947" s="1477"/>
      <c r="T947" s="1480" t="str">
        <f>IF(Q$930="Yes",19,"")</f>
        <v/>
      </c>
      <c r="U947" s="1477"/>
      <c r="V947" s="1477"/>
      <c r="W947" s="1477"/>
      <c r="X947" s="1477"/>
      <c r="Y947" s="1477"/>
      <c r="Z947" s="1477"/>
    </row>
    <row r="948" spans="1:26"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80" t="s">
        <v>1510</v>
      </c>
      <c r="G948" s="1480" t="str">
        <f>IF(T948&lt;&gt;"","A","")</f>
        <v/>
      </c>
      <c r="H948" s="1480" t="s">
        <v>2063</v>
      </c>
      <c r="I948" s="1427" t="str">
        <f t="shared" si="141"/>
        <v/>
      </c>
      <c r="J948" s="1480"/>
      <c r="K948" s="1480" t="str">
        <f t="shared" si="142"/>
        <v/>
      </c>
      <c r="L948" s="906" t="s">
        <v>1510</v>
      </c>
      <c r="M948" s="1480">
        <v>931</v>
      </c>
      <c r="N948" s="1480"/>
      <c r="O948" s="1477" t="s">
        <v>728</v>
      </c>
      <c r="P948" s="1477"/>
      <c r="Q948" s="1477"/>
      <c r="R948" s="1480" t="s">
        <v>396</v>
      </c>
      <c r="S948" s="1477"/>
      <c r="T948" s="1480" t="str">
        <f>IF(Q$949="Yes",20,"")</f>
        <v/>
      </c>
      <c r="U948" s="1477"/>
      <c r="V948" s="1477"/>
      <c r="W948" s="1477"/>
      <c r="X948" s="1477"/>
      <c r="Y948" s="1477"/>
      <c r="Z948" s="1477"/>
    </row>
    <row r="949" spans="1:26"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80"/>
      <c r="G949" s="1480"/>
      <c r="H949" s="1480"/>
      <c r="I949" s="1427" t="str">
        <f t="shared" si="141"/>
        <v/>
      </c>
      <c r="J949" s="1480" t="str">
        <f t="shared" ref="J949:J966" si="151">IF(M949&lt;&gt;"",IF($Q$949="Yes",Q$1&amp;M949,""))</f>
        <v/>
      </c>
      <c r="K949" s="1480" t="str">
        <f t="shared" si="142"/>
        <v/>
      </c>
      <c r="L949" s="906" t="s">
        <v>1724</v>
      </c>
      <c r="M949" s="1480">
        <v>932</v>
      </c>
      <c r="N949" s="1480"/>
      <c r="O949" s="1477">
        <f>'Configurable Tab'!H22</f>
        <v>281</v>
      </c>
      <c r="P949" s="1477"/>
      <c r="Q949" s="1477" t="s">
        <v>651</v>
      </c>
      <c r="R949" s="1480" t="s">
        <v>396</v>
      </c>
      <c r="S949" s="1477"/>
      <c r="T949" s="1480" t="str">
        <f t="shared" ref="T949:T965" si="152">IF(Q$949="Yes",20,"")</f>
        <v/>
      </c>
      <c r="U949" s="1477"/>
      <c r="V949" s="1477"/>
      <c r="W949" s="1477"/>
      <c r="X949" s="1477"/>
      <c r="Y949" s="1477"/>
      <c r="Z949" s="1477"/>
    </row>
    <row r="950" spans="1:26"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80" t="s">
        <v>1399</v>
      </c>
      <c r="G950" s="1480" t="str">
        <f>IF(T950&lt;&gt;"","B","")</f>
        <v/>
      </c>
      <c r="H950" s="1480" t="s">
        <v>2063</v>
      </c>
      <c r="I950" s="1427" t="str">
        <f t="shared" si="141"/>
        <v/>
      </c>
      <c r="J950" s="1480"/>
      <c r="K950" s="1480" t="str">
        <f t="shared" si="142"/>
        <v/>
      </c>
      <c r="L950" s="906" t="s">
        <v>1399</v>
      </c>
      <c r="M950" s="1480">
        <v>933</v>
      </c>
      <c r="N950" s="1480"/>
      <c r="O950" s="1477" t="s">
        <v>729</v>
      </c>
      <c r="P950" s="1477"/>
      <c r="Q950" s="1477"/>
      <c r="R950" s="1480" t="s">
        <v>396</v>
      </c>
      <c r="S950" s="1477"/>
      <c r="T950" s="1480" t="str">
        <f t="shared" si="152"/>
        <v/>
      </c>
      <c r="U950" s="1477"/>
      <c r="V950" s="1477"/>
      <c r="W950" s="1477"/>
      <c r="X950" s="1477"/>
      <c r="Y950" s="1477"/>
      <c r="Z950" s="1477"/>
    </row>
    <row r="951" spans="1:26" x14ac:dyDescent="0.25">
      <c r="A951" s="1085" t="s">
        <v>1396</v>
      </c>
      <c r="B951" s="906" t="str">
        <f t="shared" ref="B951:B957" ca="1" si="153">_xlfn.CONCAT(IFERROR(SUBSTITUTE(ADDRESS(1,MATCH(A951,INDIRECT("'"&amp;E951&amp;"'"&amp;"!A" &amp; $O$949 + 2 &amp; ":Z" &amp; $O$949 + 2),0),4),1,""),""),$O$949 + 2)</f>
        <v>H283</v>
      </c>
      <c r="C951" s="906" t="str">
        <f t="shared" ref="C951:C957" ca="1" si="154">_xlfn.CONCAT(IFERROR(SUBSTITUTE(ADDRESS(1,MATCH(A951,INDIRECT("'"&amp;E951&amp;"'"&amp;"!A" &amp; $O$949 + 2 &amp; ":Z" &amp; $O$949 + 2),0),4),1,""),""),$O$949 + 3)</f>
        <v>H284</v>
      </c>
      <c r="D951" s="906" t="s">
        <v>1365</v>
      </c>
      <c r="E951" s="906" t="s">
        <v>1535</v>
      </c>
      <c r="F951" s="1480" t="s">
        <v>2064</v>
      </c>
      <c r="G951" s="1480" t="str">
        <f>IF(T951&lt;&gt;"","E","")</f>
        <v/>
      </c>
      <c r="H951" s="1480" t="s">
        <v>2063</v>
      </c>
      <c r="I951" s="1427" t="str">
        <f t="shared" si="141"/>
        <v/>
      </c>
      <c r="J951" s="1480" t="str">
        <f t="shared" si="151"/>
        <v/>
      </c>
      <c r="K951" s="1480" t="str">
        <f t="shared" si="142"/>
        <v/>
      </c>
      <c r="L951" s="906" t="s">
        <v>1396</v>
      </c>
      <c r="M951" s="1480">
        <v>934</v>
      </c>
      <c r="N951" s="1480"/>
      <c r="O951" s="1477">
        <f>'Configurable Tab'!I22</f>
        <v>294</v>
      </c>
      <c r="P951" s="1477"/>
      <c r="Q951" s="1477"/>
      <c r="R951" s="1480" t="s">
        <v>396</v>
      </c>
      <c r="S951" s="1477"/>
      <c r="T951" s="1480" t="str">
        <f t="shared" si="152"/>
        <v/>
      </c>
      <c r="U951" s="1477"/>
      <c r="V951" s="1477"/>
      <c r="W951" s="1477"/>
      <c r="X951" s="1477"/>
      <c r="Y951" s="1477"/>
      <c r="Z951" s="1477"/>
    </row>
    <row r="952" spans="1:26" x14ac:dyDescent="0.25">
      <c r="A952" s="1085" t="s">
        <v>1397</v>
      </c>
      <c r="B952" s="906" t="str">
        <f t="shared" ca="1" si="153"/>
        <v>J283</v>
      </c>
      <c r="C952" s="906" t="str">
        <f t="shared" ca="1" si="154"/>
        <v>J284</v>
      </c>
      <c r="D952" s="906" t="s">
        <v>1365</v>
      </c>
      <c r="E952" s="906" t="s">
        <v>1535</v>
      </c>
      <c r="F952" s="1480" t="s">
        <v>2065</v>
      </c>
      <c r="G952" s="1480" t="str">
        <f>IF(T952&lt;&gt;"","I","")</f>
        <v/>
      </c>
      <c r="H952" s="1480" t="s">
        <v>2063</v>
      </c>
      <c r="I952" s="1427" t="str">
        <f t="shared" si="141"/>
        <v/>
      </c>
      <c r="J952" s="1480" t="str">
        <f t="shared" si="151"/>
        <v/>
      </c>
      <c r="K952" s="1480" t="str">
        <f t="shared" si="142"/>
        <v/>
      </c>
      <c r="L952" s="906" t="s">
        <v>1397</v>
      </c>
      <c r="M952" s="1480">
        <v>935</v>
      </c>
      <c r="N952" s="1480"/>
      <c r="O952" s="1477" t="s">
        <v>1727</v>
      </c>
      <c r="P952" s="1477"/>
      <c r="Q952" s="1477"/>
      <c r="R952" s="1480" t="s">
        <v>396</v>
      </c>
      <c r="S952" s="1477"/>
      <c r="T952" s="1480" t="str">
        <f t="shared" si="152"/>
        <v/>
      </c>
      <c r="U952" s="1477"/>
      <c r="V952" s="1477"/>
      <c r="W952" s="1477"/>
      <c r="X952" s="1477"/>
      <c r="Y952" s="1477"/>
      <c r="Z952" s="1477"/>
    </row>
    <row r="953" spans="1:26" x14ac:dyDescent="0.25">
      <c r="A953" s="1085" t="s">
        <v>1413</v>
      </c>
      <c r="B953" s="906" t="str">
        <f t="shared" ca="1" si="153"/>
        <v>L283</v>
      </c>
      <c r="C953" s="906" t="str">
        <f t="shared" ca="1" si="154"/>
        <v>L284</v>
      </c>
      <c r="D953" s="906" t="s">
        <v>1365</v>
      </c>
      <c r="E953" s="906" t="s">
        <v>1535</v>
      </c>
      <c r="F953" s="1480" t="s">
        <v>2066</v>
      </c>
      <c r="G953" s="1480" t="str">
        <f>IF(T953&lt;&gt;"","H","")</f>
        <v/>
      </c>
      <c r="H953" s="1480" t="s">
        <v>2063</v>
      </c>
      <c r="I953" s="1427" t="str">
        <f t="shared" si="141"/>
        <v/>
      </c>
      <c r="J953" s="1480" t="str">
        <f t="shared" si="151"/>
        <v/>
      </c>
      <c r="K953" s="1480" t="str">
        <f t="shared" si="142"/>
        <v/>
      </c>
      <c r="L953" s="906" t="s">
        <v>1413</v>
      </c>
      <c r="M953" s="1480">
        <v>936</v>
      </c>
      <c r="N953" s="1480"/>
      <c r="O953" s="1477"/>
      <c r="P953" s="1477"/>
      <c r="Q953" s="1477"/>
      <c r="R953" s="1480" t="s">
        <v>396</v>
      </c>
      <c r="S953" s="1477"/>
      <c r="T953" s="1480" t="str">
        <f t="shared" si="152"/>
        <v/>
      </c>
      <c r="U953" s="1477"/>
      <c r="V953" s="1477"/>
      <c r="W953" s="1477"/>
      <c r="X953" s="1477"/>
      <c r="Y953" s="1477"/>
      <c r="Z953" s="1477"/>
    </row>
    <row r="954" spans="1:26" x14ac:dyDescent="0.25">
      <c r="A954" s="1085" t="s">
        <v>1398</v>
      </c>
      <c r="B954" s="906" t="str">
        <f t="shared" ca="1" si="153"/>
        <v>N283</v>
      </c>
      <c r="C954" s="906" t="str">
        <f t="shared" ca="1" si="154"/>
        <v>N284</v>
      </c>
      <c r="D954" s="906" t="s">
        <v>1365</v>
      </c>
      <c r="E954" s="906" t="s">
        <v>1535</v>
      </c>
      <c r="F954" s="1480" t="s">
        <v>1398</v>
      </c>
      <c r="G954" s="1480" t="str">
        <f>IF(T954&lt;&gt;"",IF(Q952="Credit Memo","J",IF(Q952="Check","K","")),"")</f>
        <v/>
      </c>
      <c r="H954" s="1480" t="s">
        <v>2063</v>
      </c>
      <c r="I954" s="1427" t="str">
        <f t="shared" si="141"/>
        <v/>
      </c>
      <c r="J954" s="1480" t="str">
        <f t="shared" si="151"/>
        <v/>
      </c>
      <c r="K954" s="1480" t="str">
        <f t="shared" si="142"/>
        <v/>
      </c>
      <c r="L954" s="906" t="s">
        <v>1398</v>
      </c>
      <c r="M954" s="1480">
        <v>937</v>
      </c>
      <c r="N954" s="1480"/>
      <c r="O954" s="1477"/>
      <c r="P954" s="1477"/>
      <c r="Q954" s="1477"/>
      <c r="R954" s="1480" t="s">
        <v>396</v>
      </c>
      <c r="S954" s="1477"/>
      <c r="T954" s="1480" t="str">
        <f t="shared" si="152"/>
        <v/>
      </c>
      <c r="U954" s="1477"/>
      <c r="V954" s="1477"/>
      <c r="W954" s="1477"/>
      <c r="X954" s="1477"/>
      <c r="Y954" s="1477"/>
      <c r="Z954" s="1477"/>
    </row>
    <row r="955" spans="1:26" x14ac:dyDescent="0.25">
      <c r="A955" s="1085" t="s">
        <v>1505</v>
      </c>
      <c r="B955" s="906" t="str">
        <f t="shared" ca="1" si="153"/>
        <v>P283</v>
      </c>
      <c r="C955" s="906" t="str">
        <f t="shared" ca="1" si="154"/>
        <v>P284</v>
      </c>
      <c r="D955" s="906" t="s">
        <v>1365</v>
      </c>
      <c r="E955" s="906" t="s">
        <v>1535</v>
      </c>
      <c r="F955" s="1480" t="s">
        <v>2067</v>
      </c>
      <c r="G955" s="1480" t="str">
        <f>IF(T955&lt;&gt;"","F","")</f>
        <v/>
      </c>
      <c r="H955" s="1480" t="s">
        <v>2063</v>
      </c>
      <c r="I955" s="1427" t="str">
        <f t="shared" si="141"/>
        <v/>
      </c>
      <c r="J955" s="1480" t="str">
        <f t="shared" si="151"/>
        <v/>
      </c>
      <c r="K955" s="1480" t="str">
        <f t="shared" si="142"/>
        <v/>
      </c>
      <c r="L955" s="906" t="s">
        <v>1505</v>
      </c>
      <c r="M955" s="1480">
        <v>938</v>
      </c>
      <c r="N955" s="1480"/>
      <c r="O955" s="1477"/>
      <c r="P955" s="1477"/>
      <c r="Q955" s="1477"/>
      <c r="R955" s="1480" t="s">
        <v>396</v>
      </c>
      <c r="S955" s="1477"/>
      <c r="T955" s="1480" t="str">
        <f t="shared" si="152"/>
        <v/>
      </c>
      <c r="U955" s="1477"/>
      <c r="V955" s="1477"/>
      <c r="W955" s="1477"/>
      <c r="X955" s="1477"/>
      <c r="Y955" s="1477"/>
      <c r="Z955" s="1477"/>
    </row>
    <row r="956" spans="1:26" x14ac:dyDescent="0.25">
      <c r="A956" s="1085" t="s">
        <v>1506</v>
      </c>
      <c r="B956" s="906" t="str">
        <f t="shared" ca="1" si="153"/>
        <v>R283</v>
      </c>
      <c r="C956" s="906" t="str">
        <f t="shared" ca="1" si="154"/>
        <v>R284</v>
      </c>
      <c r="D956" s="906" t="s">
        <v>1365</v>
      </c>
      <c r="E956" s="906" t="s">
        <v>1535</v>
      </c>
      <c r="F956" s="1480" t="s">
        <v>2068</v>
      </c>
      <c r="G956" s="1480" t="str">
        <f>IF(T956&lt;&gt;"","G","")</f>
        <v/>
      </c>
      <c r="H956" s="1480" t="s">
        <v>2063</v>
      </c>
      <c r="I956" s="1427" t="str">
        <f t="shared" si="141"/>
        <v/>
      </c>
      <c r="J956" s="1480" t="str">
        <f t="shared" si="151"/>
        <v/>
      </c>
      <c r="K956" s="1480" t="str">
        <f t="shared" si="142"/>
        <v/>
      </c>
      <c r="L956" s="906" t="s">
        <v>1506</v>
      </c>
      <c r="M956" s="1480">
        <v>939</v>
      </c>
      <c r="N956" s="1480"/>
      <c r="O956" s="1477"/>
      <c r="P956" s="1477"/>
      <c r="Q956" s="1477"/>
      <c r="R956" s="1480" t="s">
        <v>396</v>
      </c>
      <c r="S956" s="1477"/>
      <c r="T956" s="1480" t="str">
        <f t="shared" si="152"/>
        <v/>
      </c>
      <c r="U956" s="1477"/>
      <c r="V956" s="1477"/>
      <c r="W956" s="1477"/>
      <c r="X956" s="1477"/>
      <c r="Y956" s="1477"/>
      <c r="Z956" s="1477"/>
    </row>
    <row r="957" spans="1:26" x14ac:dyDescent="0.25">
      <c r="A957" s="1085" t="s">
        <v>1507</v>
      </c>
      <c r="B957" s="906" t="str">
        <f t="shared" ca="1" si="153"/>
        <v>T283</v>
      </c>
      <c r="C957" s="906" t="str">
        <f t="shared" ca="1" si="154"/>
        <v>T284</v>
      </c>
      <c r="D957" s="906" t="s">
        <v>1365</v>
      </c>
      <c r="E957" s="906" t="s">
        <v>1535</v>
      </c>
      <c r="F957" s="923" t="s">
        <v>1507</v>
      </c>
      <c r="G957" s="1480" t="str">
        <f>IF(T957&lt;&gt;"","AW","")</f>
        <v/>
      </c>
      <c r="H957" s="1480" t="s">
        <v>2063</v>
      </c>
      <c r="I957" s="1427" t="str">
        <f t="shared" si="141"/>
        <v/>
      </c>
      <c r="J957" s="1480" t="str">
        <f t="shared" si="151"/>
        <v/>
      </c>
      <c r="K957" s="1480" t="str">
        <f t="shared" si="142"/>
        <v/>
      </c>
      <c r="L957" s="906" t="s">
        <v>1507</v>
      </c>
      <c r="M957" s="1480">
        <v>940</v>
      </c>
      <c r="N957" s="1480"/>
      <c r="O957" s="1477"/>
      <c r="P957" s="1477"/>
      <c r="Q957" s="1477"/>
      <c r="R957" s="1480" t="s">
        <v>396</v>
      </c>
      <c r="S957" s="1477"/>
      <c r="T957" s="1480" t="str">
        <f t="shared" si="152"/>
        <v/>
      </c>
      <c r="U957" s="1477"/>
      <c r="V957" s="1477"/>
      <c r="W957" s="1477"/>
      <c r="X957" s="1477"/>
      <c r="Y957" s="1477"/>
      <c r="Z957" s="1477"/>
    </row>
    <row r="958" spans="1:26"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80" t="s">
        <v>1401</v>
      </c>
      <c r="G958" s="1480" t="str">
        <f>IF(T958&lt;&gt;"","C","")</f>
        <v/>
      </c>
      <c r="H958" s="1480" t="s">
        <v>2063</v>
      </c>
      <c r="I958" s="1427" t="str">
        <f t="shared" si="141"/>
        <v/>
      </c>
      <c r="J958" s="1480"/>
      <c r="K958" s="1480" t="str">
        <f t="shared" si="142"/>
        <v/>
      </c>
      <c r="L958" s="906" t="s">
        <v>1401</v>
      </c>
      <c r="M958" s="1480">
        <v>941</v>
      </c>
      <c r="N958" s="1480"/>
      <c r="O958" s="1477"/>
      <c r="P958" s="1477"/>
      <c r="Q958" s="1477"/>
      <c r="R958" s="1480" t="s">
        <v>396</v>
      </c>
      <c r="S958" s="1477"/>
      <c r="T958" s="1480" t="str">
        <f t="shared" si="152"/>
        <v/>
      </c>
      <c r="U958" s="1477"/>
      <c r="V958" s="1477"/>
      <c r="W958" s="1477"/>
      <c r="X958" s="1477"/>
      <c r="Y958" s="1477"/>
      <c r="Z958" s="1477"/>
    </row>
    <row r="959" spans="1:26"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80" t="s">
        <v>1402</v>
      </c>
      <c r="G959" s="1480" t="str">
        <f>IF(T959&lt;&gt;"","D","")</f>
        <v/>
      </c>
      <c r="H959" s="1480" t="s">
        <v>2063</v>
      </c>
      <c r="I959" s="1427" t="str">
        <f t="shared" si="141"/>
        <v/>
      </c>
      <c r="J959" s="1480"/>
      <c r="K959" s="1480" t="str">
        <f t="shared" si="142"/>
        <v/>
      </c>
      <c r="L959" s="906" t="s">
        <v>1402</v>
      </c>
      <c r="M959" s="1480">
        <v>942</v>
      </c>
      <c r="N959" s="1480"/>
      <c r="O959" s="1477"/>
      <c r="P959" s="1477"/>
      <c r="Q959" s="1477"/>
      <c r="R959" s="1480" t="s">
        <v>396</v>
      </c>
      <c r="S959" s="1477"/>
      <c r="T959" s="1480" t="str">
        <f t="shared" si="152"/>
        <v/>
      </c>
      <c r="U959" s="1477"/>
      <c r="V959" s="1477"/>
      <c r="W959" s="1477"/>
      <c r="X959" s="1477"/>
      <c r="Y959" s="1477"/>
      <c r="Z959" s="1477"/>
    </row>
    <row r="960" spans="1:26"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80" t="s">
        <v>1514</v>
      </c>
      <c r="G960" s="1480" t="str">
        <f>IF(T960&lt;&gt;"","AN","")</f>
        <v/>
      </c>
      <c r="H960" s="1480" t="s">
        <v>2063</v>
      </c>
      <c r="I960" s="1427" t="str">
        <f t="shared" si="141"/>
        <v/>
      </c>
      <c r="J960" s="1480" t="str">
        <f t="shared" si="151"/>
        <v/>
      </c>
      <c r="K960" s="1480" t="str">
        <f t="shared" si="142"/>
        <v/>
      </c>
      <c r="L960" s="907" t="s">
        <v>1514</v>
      </c>
      <c r="M960" s="1480">
        <v>943</v>
      </c>
      <c r="N960" s="1480"/>
      <c r="O960" s="1477"/>
      <c r="P960" s="1484" t="str" cm="1">
        <f t="array" aca="1" ref="P960" ca="1">_xlfn.CONCAT("F",RIGHT(B960, LEN(B960) - MAX(IF(ISNUMBER(MID(B960, ROW(INDIRECT("1:"&amp;LEN(B960))), 1) *1)=FALSE, ROW(INDIRECT("1:"&amp;LEN(B960))), 0))))</f>
        <v>F291</v>
      </c>
      <c r="Q960" s="1480" t="str" cm="1">
        <f t="array" aca="1" ref="Q960" ca="1">_xlfn.CONCAT("E",RIGHT(C960, LEN(C960) - MAX(IF(ISNUMBER(MID(C960, ROW(INDIRECT("1:"&amp;LEN(C960))), 1) *1)=FALSE, ROW(INDIRECT("1:"&amp;LEN(C960))), 0))))</f>
        <v>E291</v>
      </c>
      <c r="R960" s="1480" t="s">
        <v>396</v>
      </c>
      <c r="S960" s="1477"/>
      <c r="T960" s="1480" t="str">
        <f t="shared" si="152"/>
        <v/>
      </c>
      <c r="U960" s="1477"/>
      <c r="V960" s="1477"/>
      <c r="W960" s="1477"/>
      <c r="X960" s="1477"/>
      <c r="Y960" s="1477"/>
      <c r="Z960" s="1477"/>
    </row>
    <row r="961" spans="1:26"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80" t="s">
        <v>1511</v>
      </c>
      <c r="G961" s="1480" t="str">
        <f>IF(T961&lt;&gt;"","AL","")</f>
        <v/>
      </c>
      <c r="H961" s="1480" t="s">
        <v>2063</v>
      </c>
      <c r="I961" s="1427" t="str">
        <f t="shared" si="141"/>
        <v/>
      </c>
      <c r="J961" s="1480" t="str">
        <f t="shared" si="151"/>
        <v/>
      </c>
      <c r="K961" s="1480" t="str">
        <f t="shared" si="142"/>
        <v/>
      </c>
      <c r="L961" s="906" t="s">
        <v>1511</v>
      </c>
      <c r="M961" s="1480">
        <v>944</v>
      </c>
      <c r="N961" s="1480"/>
      <c r="O961" s="1477"/>
      <c r="P961" s="1477"/>
      <c r="Q961" s="1477"/>
      <c r="R961" s="1480" t="s">
        <v>396</v>
      </c>
      <c r="S961" s="1477"/>
      <c r="T961" s="1480" t="str">
        <f t="shared" si="152"/>
        <v/>
      </c>
      <c r="U961" s="1477"/>
      <c r="V961" s="1477"/>
      <c r="W961" s="1477"/>
      <c r="X961" s="1477"/>
      <c r="Y961" s="1477"/>
      <c r="Z961" s="1477"/>
    </row>
    <row r="962" spans="1:26"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80" t="s">
        <v>2069</v>
      </c>
      <c r="G962" s="1480" t="str">
        <f>IF(T962&lt;&gt;"","L","")</f>
        <v/>
      </c>
      <c r="H962" s="1480" t="s">
        <v>2063</v>
      </c>
      <c r="I962" s="1427" t="str">
        <f t="shared" si="141"/>
        <v/>
      </c>
      <c r="J962" s="1480" t="str">
        <f t="shared" si="151"/>
        <v/>
      </c>
      <c r="K962" s="1480" t="str">
        <f t="shared" si="142"/>
        <v/>
      </c>
      <c r="L962" s="906" t="s">
        <v>1525</v>
      </c>
      <c r="M962" s="1480">
        <v>945</v>
      </c>
      <c r="N962" s="1480"/>
      <c r="O962" s="1477"/>
      <c r="P962" s="1477"/>
      <c r="Q962" s="1477"/>
      <c r="R962" s="1480" t="s">
        <v>396</v>
      </c>
      <c r="S962" s="1477"/>
      <c r="T962" s="1480" t="str">
        <f t="shared" si="152"/>
        <v/>
      </c>
      <c r="U962" s="1477"/>
      <c r="V962" s="1477"/>
      <c r="W962" s="1477"/>
      <c r="X962" s="1477"/>
      <c r="Y962" s="1477"/>
      <c r="Z962" s="1477"/>
    </row>
    <row r="963" spans="1:26"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80" t="str">
        <f>IF(T963&lt;&gt;"","AH","")</f>
        <v/>
      </c>
      <c r="H963" s="1480" t="s">
        <v>2063</v>
      </c>
      <c r="I963" s="1427" t="str">
        <f t="shared" si="141"/>
        <v/>
      </c>
      <c r="J963" s="1480" t="str">
        <f t="shared" si="151"/>
        <v/>
      </c>
      <c r="K963" s="1480" t="str">
        <f t="shared" si="142"/>
        <v/>
      </c>
      <c r="L963" s="906" t="s">
        <v>1403</v>
      </c>
      <c r="M963" s="1480">
        <v>946</v>
      </c>
      <c r="N963" s="1480"/>
      <c r="O963" s="1477"/>
      <c r="P963" s="1477"/>
      <c r="Q963" s="1477"/>
      <c r="R963" s="1480" t="s">
        <v>396</v>
      </c>
      <c r="S963" s="1477"/>
      <c r="T963" s="1480" t="str">
        <f t="shared" si="152"/>
        <v/>
      </c>
      <c r="U963" s="1477"/>
      <c r="V963" s="1477"/>
      <c r="W963" s="1477"/>
      <c r="X963" s="1477"/>
      <c r="Y963" s="1477"/>
      <c r="Z963" s="1477"/>
    </row>
    <row r="964" spans="1:26"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80"/>
      <c r="H964" s="1480"/>
      <c r="I964" s="1427" t="str">
        <f t="shared" ref="I964:I1027" si="155">IF(J964&lt;&gt;"",A964,"")</f>
        <v/>
      </c>
      <c r="J964" s="1480"/>
      <c r="K964" s="1480" t="str">
        <f t="shared" ref="K964:K1027" si="156">IF(J964&lt;&gt;"",E964,"")</f>
        <v/>
      </c>
      <c r="L964" s="906" t="s">
        <v>1404</v>
      </c>
      <c r="M964" s="1480">
        <v>947</v>
      </c>
      <c r="N964" s="1480"/>
      <c r="O964" s="1477"/>
      <c r="P964" s="1477"/>
      <c r="Q964" s="1477"/>
      <c r="R964" s="1480" t="s">
        <v>396</v>
      </c>
      <c r="S964" s="1477"/>
      <c r="T964" s="1480" t="str">
        <f t="shared" si="152"/>
        <v/>
      </c>
      <c r="U964" s="1477"/>
      <c r="V964" s="1477"/>
      <c r="W964" s="1477"/>
      <c r="X964" s="1477"/>
      <c r="Y964" s="1477"/>
      <c r="Z964" s="1477"/>
    </row>
    <row r="965" spans="1:26"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80" t="s">
        <v>1985</v>
      </c>
      <c r="G965" s="1480" t="str">
        <f>IF(T965&lt;&gt;"","AI","")</f>
        <v/>
      </c>
      <c r="H965" s="1480" t="s">
        <v>2063</v>
      </c>
      <c r="I965" s="1427" t="str">
        <f t="shared" si="155"/>
        <v/>
      </c>
      <c r="J965" s="1480"/>
      <c r="K965" s="1480" t="str">
        <f t="shared" si="156"/>
        <v/>
      </c>
      <c r="L965" s="906" t="s">
        <v>1405</v>
      </c>
      <c r="M965" s="1480">
        <v>948</v>
      </c>
      <c r="N965" s="1480"/>
      <c r="O965" s="1477"/>
      <c r="P965" s="1477"/>
      <c r="Q965" s="1477"/>
      <c r="R965" s="1480" t="s">
        <v>396</v>
      </c>
      <c r="S965" s="1477"/>
      <c r="T965" s="1480" t="str">
        <f t="shared" si="152"/>
        <v/>
      </c>
      <c r="U965" s="1477"/>
      <c r="V965" s="1477"/>
      <c r="W965" s="1477"/>
      <c r="X965" s="1477"/>
      <c r="Y965" s="1477"/>
      <c r="Z965" s="1477"/>
    </row>
    <row r="966" spans="1:26"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80" t="s">
        <v>1527</v>
      </c>
      <c r="G966" s="1480" t="str">
        <f>IF(T966&lt;&gt;"","P","")</f>
        <v/>
      </c>
      <c r="H966" s="1480" t="s">
        <v>2063</v>
      </c>
      <c r="I966" s="1427" t="str">
        <f t="shared" si="155"/>
        <v/>
      </c>
      <c r="J966" s="1480" t="str">
        <f t="shared" si="151"/>
        <v/>
      </c>
      <c r="K966" s="1480" t="str">
        <f t="shared" si="156"/>
        <v/>
      </c>
      <c r="L966" s="906" t="s">
        <v>1527</v>
      </c>
      <c r="M966" s="1480">
        <v>949</v>
      </c>
      <c r="N966" s="1480"/>
      <c r="O966" s="1477"/>
      <c r="P966" s="1477"/>
      <c r="Q966" s="1477"/>
      <c r="R966" s="1480" t="s">
        <v>396</v>
      </c>
      <c r="S966" s="1477"/>
      <c r="T966" s="1480" t="str">
        <f>IF(Q$949="Yes",20,"")</f>
        <v/>
      </c>
      <c r="U966" s="1477"/>
      <c r="V966" s="1477"/>
      <c r="W966" s="1477"/>
      <c r="X966" s="1477"/>
      <c r="Y966" s="1477"/>
      <c r="Z966" s="1477"/>
    </row>
    <row r="967" spans="1:26"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80" t="s">
        <v>1510</v>
      </c>
      <c r="G967" s="1480" t="str">
        <f>IF(T967&lt;&gt;"","A","")</f>
        <v/>
      </c>
      <c r="H967" s="1480" t="s">
        <v>2063</v>
      </c>
      <c r="I967" s="1427" t="str">
        <f t="shared" si="155"/>
        <v/>
      </c>
      <c r="J967" s="1480"/>
      <c r="K967" s="1480" t="str">
        <f t="shared" si="156"/>
        <v/>
      </c>
      <c r="L967" s="906" t="s">
        <v>1510</v>
      </c>
      <c r="M967" s="1480">
        <v>950</v>
      </c>
      <c r="N967" s="1480"/>
      <c r="O967" s="1477" t="s">
        <v>728</v>
      </c>
      <c r="P967" s="1477"/>
      <c r="Q967" s="1477"/>
      <c r="R967" s="1480" t="s">
        <v>396</v>
      </c>
      <c r="S967" s="1477"/>
      <c r="T967" s="1480" t="str">
        <f t="shared" ref="T967:T984" si="157">IF(Q$968="Yes",21,"")</f>
        <v/>
      </c>
      <c r="U967" s="1477"/>
      <c r="V967" s="1477"/>
      <c r="W967" s="1477"/>
      <c r="X967" s="1477"/>
      <c r="Y967" s="1477"/>
      <c r="Z967" s="1477"/>
    </row>
    <row r="968" spans="1:26"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80"/>
      <c r="G968" s="1480"/>
      <c r="H968" s="1480"/>
      <c r="I968" s="1427" t="str">
        <f t="shared" si="155"/>
        <v/>
      </c>
      <c r="J968" s="1480" t="str">
        <f t="shared" ref="J968:J985" si="158">IF(M968&lt;&gt;"",IF($Q$968="Yes",Q$1&amp;M968,""))</f>
        <v/>
      </c>
      <c r="K968" s="1480" t="str">
        <f t="shared" si="156"/>
        <v/>
      </c>
      <c r="L968" s="906" t="s">
        <v>1724</v>
      </c>
      <c r="M968" s="1480">
        <v>951</v>
      </c>
      <c r="N968" s="1480"/>
      <c r="O968" s="1477">
        <f>'Configurable Tab'!H23</f>
        <v>295</v>
      </c>
      <c r="P968" s="1477"/>
      <c r="Q968" s="1477" t="s">
        <v>651</v>
      </c>
      <c r="R968" s="1480" t="s">
        <v>396</v>
      </c>
      <c r="S968" s="1477"/>
      <c r="T968" s="1480" t="str">
        <f t="shared" si="157"/>
        <v/>
      </c>
      <c r="U968" s="1477"/>
      <c r="V968" s="1477"/>
      <c r="W968" s="1477"/>
      <c r="X968" s="1477"/>
      <c r="Y968" s="1477"/>
      <c r="Z968" s="1477"/>
    </row>
    <row r="969" spans="1:26"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80" t="s">
        <v>1399</v>
      </c>
      <c r="G969" s="1480" t="str">
        <f>IF(T969&lt;&gt;"","B","")</f>
        <v/>
      </c>
      <c r="H969" s="1480" t="s">
        <v>2063</v>
      </c>
      <c r="I969" s="1427" t="str">
        <f t="shared" si="155"/>
        <v/>
      </c>
      <c r="J969" s="1480"/>
      <c r="K969" s="1480" t="str">
        <f t="shared" si="156"/>
        <v/>
      </c>
      <c r="L969" s="906" t="s">
        <v>1399</v>
      </c>
      <c r="M969" s="1480">
        <v>952</v>
      </c>
      <c r="N969" s="1480"/>
      <c r="O969" s="1477" t="s">
        <v>729</v>
      </c>
      <c r="P969" s="1477"/>
      <c r="Q969" s="1477"/>
      <c r="R969" s="1480" t="s">
        <v>396</v>
      </c>
      <c r="S969" s="1477"/>
      <c r="T969" s="1480" t="str">
        <f t="shared" si="157"/>
        <v/>
      </c>
      <c r="U969" s="1477"/>
      <c r="V969" s="1477"/>
      <c r="W969" s="1477"/>
      <c r="X969" s="1477"/>
      <c r="Y969" s="1477"/>
      <c r="Z969" s="1477"/>
    </row>
    <row r="970" spans="1:26" x14ac:dyDescent="0.25">
      <c r="A970" s="1109" t="s">
        <v>1396</v>
      </c>
      <c r="B970" s="906" t="str">
        <f t="shared" ref="B970:B976" ca="1" si="159">_xlfn.CONCAT(IFERROR(SUBSTITUTE(ADDRESS(1,MATCH(A970,INDIRECT("'"&amp;E970&amp;"'"&amp;"!A" &amp; $O$968 + 2 &amp; ":Z" &amp; $O$968 + 2),0),4),1,""),""),$O$968 + 2)</f>
        <v>H297</v>
      </c>
      <c r="C970" s="906" t="str">
        <f t="shared" ref="C970:C976" ca="1" si="160">_xlfn.CONCAT(IFERROR(SUBSTITUTE(ADDRESS(1,MATCH(A970,INDIRECT("'"&amp;E970&amp;"'"&amp;"!A" &amp; $O$968 + 2 &amp; ":Z" &amp; $O$968 + 2),0),4),1,""),""),$O$968 + 3)</f>
        <v>H298</v>
      </c>
      <c r="D970" s="906" t="s">
        <v>1365</v>
      </c>
      <c r="E970" s="906" t="s">
        <v>1535</v>
      </c>
      <c r="F970" s="1480" t="s">
        <v>2064</v>
      </c>
      <c r="G970" s="1480" t="str">
        <f>IF(T970&lt;&gt;"","E","")</f>
        <v/>
      </c>
      <c r="H970" s="1480" t="s">
        <v>2063</v>
      </c>
      <c r="I970" s="1427" t="str">
        <f t="shared" si="155"/>
        <v/>
      </c>
      <c r="J970" s="1480" t="str">
        <f t="shared" si="158"/>
        <v/>
      </c>
      <c r="K970" s="1480" t="str">
        <f t="shared" si="156"/>
        <v/>
      </c>
      <c r="L970" s="906" t="s">
        <v>1396</v>
      </c>
      <c r="M970" s="1480">
        <v>953</v>
      </c>
      <c r="N970" s="1480"/>
      <c r="O970" s="1477">
        <f>'Configurable Tab'!I23</f>
        <v>308</v>
      </c>
      <c r="P970" s="1477"/>
      <c r="Q970" s="1477"/>
      <c r="R970" s="1480" t="s">
        <v>396</v>
      </c>
      <c r="S970" s="1477"/>
      <c r="T970" s="1480" t="str">
        <f t="shared" si="157"/>
        <v/>
      </c>
      <c r="U970" s="1477"/>
      <c r="V970" s="1477"/>
      <c r="W970" s="1477"/>
      <c r="X970" s="1477"/>
      <c r="Y970" s="1477"/>
      <c r="Z970" s="1477"/>
    </row>
    <row r="971" spans="1:26" x14ac:dyDescent="0.25">
      <c r="A971" s="1109" t="s">
        <v>1397</v>
      </c>
      <c r="B971" s="906" t="str">
        <f t="shared" ca="1" si="159"/>
        <v>J297</v>
      </c>
      <c r="C971" s="906" t="str">
        <f t="shared" ca="1" si="160"/>
        <v>J298</v>
      </c>
      <c r="D971" s="906" t="s">
        <v>1365</v>
      </c>
      <c r="E971" s="906" t="s">
        <v>1535</v>
      </c>
      <c r="F971" s="1480" t="s">
        <v>2065</v>
      </c>
      <c r="G971" s="1480" t="str">
        <f>IF(T971&lt;&gt;"","I","")</f>
        <v/>
      </c>
      <c r="H971" s="1480" t="s">
        <v>2063</v>
      </c>
      <c r="I971" s="1427" t="str">
        <f t="shared" si="155"/>
        <v/>
      </c>
      <c r="J971" s="1480" t="str">
        <f t="shared" si="158"/>
        <v/>
      </c>
      <c r="K971" s="1480" t="str">
        <f t="shared" si="156"/>
        <v/>
      </c>
      <c r="L971" s="906" t="s">
        <v>1397</v>
      </c>
      <c r="M971" s="1480">
        <v>954</v>
      </c>
      <c r="N971" s="1480"/>
      <c r="O971" s="1477" t="s">
        <v>1728</v>
      </c>
      <c r="P971" s="1477"/>
      <c r="Q971" s="1477"/>
      <c r="R971" s="1480" t="s">
        <v>396</v>
      </c>
      <c r="S971" s="1477"/>
      <c r="T971" s="1480" t="str">
        <f t="shared" si="157"/>
        <v/>
      </c>
      <c r="U971" s="1477"/>
      <c r="V971" s="1477"/>
      <c r="W971" s="1477"/>
      <c r="X971" s="1477"/>
      <c r="Y971" s="1477"/>
      <c r="Z971" s="1477"/>
    </row>
    <row r="972" spans="1:26" x14ac:dyDescent="0.25">
      <c r="A972" s="1109" t="s">
        <v>1413</v>
      </c>
      <c r="B972" s="906" t="str">
        <f t="shared" ca="1" si="159"/>
        <v>L297</v>
      </c>
      <c r="C972" s="906" t="str">
        <f t="shared" ca="1" si="160"/>
        <v>L298</v>
      </c>
      <c r="D972" s="906" t="s">
        <v>1365</v>
      </c>
      <c r="E972" s="906" t="s">
        <v>1535</v>
      </c>
      <c r="F972" s="1480" t="s">
        <v>2066</v>
      </c>
      <c r="G972" s="1480" t="str">
        <f>IF(T972&lt;&gt;"","H","")</f>
        <v/>
      </c>
      <c r="H972" s="1480" t="s">
        <v>2063</v>
      </c>
      <c r="I972" s="1427" t="str">
        <f t="shared" si="155"/>
        <v/>
      </c>
      <c r="J972" s="1480" t="str">
        <f t="shared" si="158"/>
        <v/>
      </c>
      <c r="K972" s="1480" t="str">
        <f t="shared" si="156"/>
        <v/>
      </c>
      <c r="L972" s="906" t="s">
        <v>1413</v>
      </c>
      <c r="M972" s="1480">
        <v>955</v>
      </c>
      <c r="N972" s="1480"/>
      <c r="O972" s="1477"/>
      <c r="P972" s="1477"/>
      <c r="Q972" s="1477"/>
      <c r="R972" s="1480" t="s">
        <v>396</v>
      </c>
      <c r="S972" s="1477"/>
      <c r="T972" s="1480" t="str">
        <f t="shared" si="157"/>
        <v/>
      </c>
      <c r="U972" s="1477"/>
      <c r="V972" s="1477"/>
      <c r="W972" s="1477"/>
      <c r="X972" s="1477"/>
      <c r="Y972" s="1477"/>
      <c r="Z972" s="1477"/>
    </row>
    <row r="973" spans="1:26" x14ac:dyDescent="0.25">
      <c r="A973" s="1109" t="s">
        <v>1398</v>
      </c>
      <c r="B973" s="906" t="str">
        <f t="shared" ca="1" si="159"/>
        <v>N297</v>
      </c>
      <c r="C973" s="906" t="str">
        <f t="shared" ca="1" si="160"/>
        <v>N298</v>
      </c>
      <c r="D973" s="906" t="s">
        <v>1365</v>
      </c>
      <c r="E973" s="906" t="s">
        <v>1535</v>
      </c>
      <c r="F973" s="1480" t="s">
        <v>1398</v>
      </c>
      <c r="G973" s="1480" t="str">
        <f>IF(T973&lt;&gt;"",IF(Q971="Credit Memo","J",IF(Q971="Check","K","")),"")</f>
        <v/>
      </c>
      <c r="H973" s="1480" t="s">
        <v>2063</v>
      </c>
      <c r="I973" s="1427" t="str">
        <f t="shared" si="155"/>
        <v/>
      </c>
      <c r="J973" s="1480" t="str">
        <f t="shared" si="158"/>
        <v/>
      </c>
      <c r="K973" s="1480" t="str">
        <f t="shared" si="156"/>
        <v/>
      </c>
      <c r="L973" s="906" t="s">
        <v>1398</v>
      </c>
      <c r="M973" s="1480">
        <v>956</v>
      </c>
      <c r="N973" s="1480"/>
      <c r="O973" s="1477"/>
      <c r="P973" s="1477"/>
      <c r="Q973" s="1477"/>
      <c r="R973" s="1480" t="s">
        <v>396</v>
      </c>
      <c r="S973" s="1477"/>
      <c r="T973" s="1480" t="str">
        <f t="shared" si="157"/>
        <v/>
      </c>
      <c r="U973" s="1477"/>
      <c r="V973" s="1477"/>
      <c r="W973" s="1477"/>
      <c r="X973" s="1477"/>
      <c r="Y973" s="1477"/>
      <c r="Z973" s="1477"/>
    </row>
    <row r="974" spans="1:26" x14ac:dyDescent="0.25">
      <c r="A974" s="1109" t="s">
        <v>1505</v>
      </c>
      <c r="B974" s="906" t="str">
        <f t="shared" ca="1" si="159"/>
        <v>P297</v>
      </c>
      <c r="C974" s="906" t="str">
        <f t="shared" ca="1" si="160"/>
        <v>P298</v>
      </c>
      <c r="D974" s="906" t="s">
        <v>1365</v>
      </c>
      <c r="E974" s="906" t="s">
        <v>1535</v>
      </c>
      <c r="F974" s="1480" t="s">
        <v>2067</v>
      </c>
      <c r="G974" s="1480" t="str">
        <f>IF(T974&lt;&gt;"","F","")</f>
        <v/>
      </c>
      <c r="H974" s="1480" t="s">
        <v>2063</v>
      </c>
      <c r="I974" s="1427" t="str">
        <f t="shared" si="155"/>
        <v/>
      </c>
      <c r="J974" s="1480" t="str">
        <f t="shared" si="158"/>
        <v/>
      </c>
      <c r="K974" s="1480" t="str">
        <f t="shared" si="156"/>
        <v/>
      </c>
      <c r="L974" s="906" t="s">
        <v>1505</v>
      </c>
      <c r="M974" s="1480">
        <v>957</v>
      </c>
      <c r="N974" s="1480"/>
      <c r="O974" s="1477"/>
      <c r="P974" s="1477"/>
      <c r="Q974" s="1477"/>
      <c r="R974" s="1480" t="s">
        <v>396</v>
      </c>
      <c r="S974" s="1477"/>
      <c r="T974" s="1480" t="str">
        <f t="shared" si="157"/>
        <v/>
      </c>
      <c r="U974" s="1477"/>
      <c r="V974" s="1477"/>
      <c r="W974" s="1477"/>
      <c r="X974" s="1477"/>
      <c r="Y974" s="1477"/>
      <c r="Z974" s="1477"/>
    </row>
    <row r="975" spans="1:26" x14ac:dyDescent="0.25">
      <c r="A975" s="1109" t="s">
        <v>1506</v>
      </c>
      <c r="B975" s="906" t="str">
        <f t="shared" ca="1" si="159"/>
        <v>R297</v>
      </c>
      <c r="C975" s="906" t="str">
        <f t="shared" ca="1" si="160"/>
        <v>R298</v>
      </c>
      <c r="D975" s="906" t="s">
        <v>1365</v>
      </c>
      <c r="E975" s="906" t="s">
        <v>1535</v>
      </c>
      <c r="F975" s="1480" t="s">
        <v>2068</v>
      </c>
      <c r="G975" s="1480" t="str">
        <f>IF(T975&lt;&gt;"","G","")</f>
        <v/>
      </c>
      <c r="H975" s="1480" t="s">
        <v>2063</v>
      </c>
      <c r="I975" s="1427" t="str">
        <f t="shared" si="155"/>
        <v/>
      </c>
      <c r="J975" s="1480" t="str">
        <f t="shared" si="158"/>
        <v/>
      </c>
      <c r="K975" s="1480" t="str">
        <f t="shared" si="156"/>
        <v/>
      </c>
      <c r="L975" s="906" t="s">
        <v>1506</v>
      </c>
      <c r="M975" s="1480">
        <v>958</v>
      </c>
      <c r="N975" s="1480"/>
      <c r="O975" s="1477"/>
      <c r="P975" s="1477"/>
      <c r="Q975" s="1477"/>
      <c r="R975" s="1480" t="s">
        <v>396</v>
      </c>
      <c r="S975" s="1477"/>
      <c r="T975" s="1480" t="str">
        <f t="shared" si="157"/>
        <v/>
      </c>
      <c r="U975" s="1477"/>
      <c r="V975" s="1477"/>
      <c r="W975" s="1477"/>
      <c r="X975" s="1477"/>
      <c r="Y975" s="1477"/>
      <c r="Z975" s="1477"/>
    </row>
    <row r="976" spans="1:26" x14ac:dyDescent="0.25">
      <c r="A976" s="1109" t="s">
        <v>1507</v>
      </c>
      <c r="B976" s="906" t="str">
        <f t="shared" ca="1" si="159"/>
        <v>T297</v>
      </c>
      <c r="C976" s="906" t="str">
        <f t="shared" ca="1" si="160"/>
        <v>T298</v>
      </c>
      <c r="D976" s="906" t="s">
        <v>1365</v>
      </c>
      <c r="E976" s="906" t="s">
        <v>1535</v>
      </c>
      <c r="F976" s="923" t="s">
        <v>1507</v>
      </c>
      <c r="G976" s="1480" t="str">
        <f>IF(T976&lt;&gt;"","AW","")</f>
        <v/>
      </c>
      <c r="H976" s="1480" t="s">
        <v>2063</v>
      </c>
      <c r="I976" s="1427" t="str">
        <f t="shared" si="155"/>
        <v/>
      </c>
      <c r="J976" s="1480" t="str">
        <f t="shared" si="158"/>
        <v/>
      </c>
      <c r="K976" s="1480" t="str">
        <f t="shared" si="156"/>
        <v/>
      </c>
      <c r="L976" s="906" t="s">
        <v>1507</v>
      </c>
      <c r="M976" s="1480">
        <v>959</v>
      </c>
      <c r="N976" s="1480"/>
      <c r="O976" s="1477"/>
      <c r="P976" s="1477"/>
      <c r="Q976" s="1477"/>
      <c r="R976" s="1480" t="s">
        <v>396</v>
      </c>
      <c r="S976" s="1477"/>
      <c r="T976" s="1480" t="str">
        <f t="shared" si="157"/>
        <v/>
      </c>
      <c r="U976" s="1477"/>
      <c r="V976" s="1477"/>
      <c r="W976" s="1477"/>
      <c r="X976" s="1477"/>
      <c r="Y976" s="1477"/>
      <c r="Z976" s="1477"/>
    </row>
    <row r="977" spans="1:26"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80" t="s">
        <v>1401</v>
      </c>
      <c r="G977" s="1480" t="str">
        <f>IF(T977&lt;&gt;"","C","")</f>
        <v/>
      </c>
      <c r="H977" s="1480" t="s">
        <v>2063</v>
      </c>
      <c r="I977" s="1427" t="str">
        <f t="shared" si="155"/>
        <v/>
      </c>
      <c r="J977" s="1480"/>
      <c r="K977" s="1480" t="str">
        <f t="shared" si="156"/>
        <v/>
      </c>
      <c r="L977" s="906" t="s">
        <v>1401</v>
      </c>
      <c r="M977" s="1480">
        <v>960</v>
      </c>
      <c r="N977" s="1480"/>
      <c r="O977" s="1477"/>
      <c r="P977" s="1477"/>
      <c r="Q977" s="1477"/>
      <c r="R977" s="1480" t="s">
        <v>396</v>
      </c>
      <c r="S977" s="1477"/>
      <c r="T977" s="1480" t="str">
        <f t="shared" si="157"/>
        <v/>
      </c>
      <c r="U977" s="1477"/>
      <c r="V977" s="1477"/>
      <c r="W977" s="1477"/>
      <c r="X977" s="1477"/>
      <c r="Y977" s="1477"/>
      <c r="Z977" s="1477"/>
    </row>
    <row r="978" spans="1:26"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80" t="s">
        <v>1402</v>
      </c>
      <c r="G978" s="1480" t="str">
        <f>IF(T978&lt;&gt;"","D","")</f>
        <v/>
      </c>
      <c r="H978" s="1480" t="s">
        <v>2063</v>
      </c>
      <c r="I978" s="1427" t="str">
        <f t="shared" si="155"/>
        <v/>
      </c>
      <c r="J978" s="1480"/>
      <c r="K978" s="1480" t="str">
        <f t="shared" si="156"/>
        <v/>
      </c>
      <c r="L978" s="906" t="s">
        <v>1402</v>
      </c>
      <c r="M978" s="1480">
        <v>961</v>
      </c>
      <c r="N978" s="1480"/>
      <c r="O978" s="1477"/>
      <c r="P978" s="1477"/>
      <c r="Q978" s="1477"/>
      <c r="R978" s="1480" t="s">
        <v>396</v>
      </c>
      <c r="S978" s="1477"/>
      <c r="T978" s="1480" t="str">
        <f t="shared" si="157"/>
        <v/>
      </c>
      <c r="U978" s="1477"/>
      <c r="V978" s="1477"/>
      <c r="W978" s="1477"/>
      <c r="X978" s="1477"/>
      <c r="Y978" s="1477"/>
      <c r="Z978" s="1477"/>
    </row>
    <row r="979" spans="1:26"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80" t="s">
        <v>1514</v>
      </c>
      <c r="G979" s="1480" t="str">
        <f>IF(T979&lt;&gt;"","AN","")</f>
        <v/>
      </c>
      <c r="H979" s="1480" t="s">
        <v>2063</v>
      </c>
      <c r="I979" s="1427" t="str">
        <f t="shared" si="155"/>
        <v/>
      </c>
      <c r="J979" s="1480" t="str">
        <f t="shared" si="158"/>
        <v/>
      </c>
      <c r="K979" s="1480" t="str">
        <f t="shared" si="156"/>
        <v/>
      </c>
      <c r="L979" s="906" t="s">
        <v>1514</v>
      </c>
      <c r="M979" s="1480">
        <v>962</v>
      </c>
      <c r="N979" s="1480"/>
      <c r="O979" s="1477"/>
      <c r="P979" s="1484" t="str" cm="1">
        <f t="array" aca="1" ref="P979" ca="1">_xlfn.CONCAT("F",RIGHT(B979, LEN(B979) - MAX(IF(ISNUMBER(MID(B979, ROW(INDIRECT("1:"&amp;LEN(B979))), 1) *1)=FALSE, ROW(INDIRECT("1:"&amp;LEN(B979))), 0))))</f>
        <v>F305</v>
      </c>
      <c r="Q979" s="1480" t="str" cm="1">
        <f t="array" aca="1" ref="Q979" ca="1">_xlfn.CONCAT("E",RIGHT(C979, LEN(C979) - MAX(IF(ISNUMBER(MID(C979, ROW(INDIRECT("1:"&amp;LEN(C979))), 1) *1)=FALSE, ROW(INDIRECT("1:"&amp;LEN(C979))), 0))))</f>
        <v>E305</v>
      </c>
      <c r="R979" s="1480" t="s">
        <v>396</v>
      </c>
      <c r="S979" s="1477"/>
      <c r="T979" s="1480" t="str">
        <f t="shared" si="157"/>
        <v/>
      </c>
      <c r="U979" s="1477"/>
      <c r="V979" s="1477"/>
      <c r="W979" s="1477"/>
      <c r="X979" s="1477"/>
      <c r="Y979" s="1477"/>
      <c r="Z979" s="1477"/>
    </row>
    <row r="980" spans="1:26"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80" t="s">
        <v>1511</v>
      </c>
      <c r="G980" s="1480" t="str">
        <f>IF(T980&lt;&gt;"","AL","")</f>
        <v/>
      </c>
      <c r="H980" s="1480" t="s">
        <v>2063</v>
      </c>
      <c r="I980" s="1427" t="str">
        <f t="shared" si="155"/>
        <v/>
      </c>
      <c r="J980" s="1480" t="str">
        <f t="shared" si="158"/>
        <v/>
      </c>
      <c r="K980" s="1480" t="str">
        <f t="shared" si="156"/>
        <v/>
      </c>
      <c r="L980" s="906" t="s">
        <v>1511</v>
      </c>
      <c r="M980" s="1480">
        <v>963</v>
      </c>
      <c r="N980" s="1480"/>
      <c r="O980" s="1477"/>
      <c r="P980" s="1477"/>
      <c r="Q980" s="1477"/>
      <c r="R980" s="1480" t="s">
        <v>396</v>
      </c>
      <c r="S980" s="1477"/>
      <c r="T980" s="1480" t="str">
        <f t="shared" si="157"/>
        <v/>
      </c>
      <c r="U980" s="1477"/>
      <c r="V980" s="1477"/>
      <c r="W980" s="1477"/>
      <c r="X980" s="1477"/>
      <c r="Y980" s="1477"/>
      <c r="Z980" s="1477"/>
    </row>
    <row r="981" spans="1:26"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80" t="s">
        <v>2069</v>
      </c>
      <c r="G981" s="1480" t="str">
        <f>IF(T981&lt;&gt;"","L","")</f>
        <v/>
      </c>
      <c r="H981" s="1480" t="s">
        <v>2063</v>
      </c>
      <c r="I981" s="1427" t="str">
        <f t="shared" si="155"/>
        <v/>
      </c>
      <c r="J981" s="1480" t="str">
        <f t="shared" si="158"/>
        <v/>
      </c>
      <c r="K981" s="1480" t="str">
        <f t="shared" si="156"/>
        <v/>
      </c>
      <c r="L981" s="906" t="s">
        <v>1525</v>
      </c>
      <c r="M981" s="1480">
        <v>964</v>
      </c>
      <c r="N981" s="1480"/>
      <c r="O981" s="1477"/>
      <c r="P981" s="1477"/>
      <c r="Q981" s="1477"/>
      <c r="R981" s="1480" t="s">
        <v>396</v>
      </c>
      <c r="S981" s="1477"/>
      <c r="T981" s="1480" t="str">
        <f t="shared" si="157"/>
        <v/>
      </c>
      <c r="U981" s="1477"/>
      <c r="V981" s="1477"/>
      <c r="W981" s="1477"/>
      <c r="X981" s="1477"/>
      <c r="Y981" s="1477"/>
      <c r="Z981" s="1477"/>
    </row>
    <row r="982" spans="1:26"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80" t="str">
        <f>IF(T982&lt;&gt;"","AH","")</f>
        <v/>
      </c>
      <c r="H982" s="1480" t="s">
        <v>2063</v>
      </c>
      <c r="I982" s="1427" t="str">
        <f t="shared" si="155"/>
        <v/>
      </c>
      <c r="J982" s="1480" t="str">
        <f t="shared" si="158"/>
        <v/>
      </c>
      <c r="K982" s="1480" t="str">
        <f t="shared" si="156"/>
        <v/>
      </c>
      <c r="L982" s="906" t="s">
        <v>1403</v>
      </c>
      <c r="M982" s="1480">
        <v>965</v>
      </c>
      <c r="N982" s="1480"/>
      <c r="O982" s="1477"/>
      <c r="P982" s="1477"/>
      <c r="Q982" s="1477"/>
      <c r="R982" s="1480" t="s">
        <v>396</v>
      </c>
      <c r="S982" s="1477"/>
      <c r="T982" s="1480" t="str">
        <f t="shared" si="157"/>
        <v/>
      </c>
      <c r="U982" s="1477"/>
      <c r="V982" s="1477"/>
      <c r="W982" s="1477"/>
      <c r="X982" s="1477"/>
      <c r="Y982" s="1477"/>
      <c r="Z982" s="1477"/>
    </row>
    <row r="983" spans="1:26"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80"/>
      <c r="H983" s="1480"/>
      <c r="I983" s="1427" t="str">
        <f t="shared" si="155"/>
        <v/>
      </c>
      <c r="J983" s="1480"/>
      <c r="K983" s="1480" t="str">
        <f t="shared" si="156"/>
        <v/>
      </c>
      <c r="L983" s="906" t="s">
        <v>1404</v>
      </c>
      <c r="M983" s="1480">
        <v>966</v>
      </c>
      <c r="N983" s="1480"/>
      <c r="O983" s="1477"/>
      <c r="P983" s="1477"/>
      <c r="Q983" s="1477"/>
      <c r="R983" s="1480" t="s">
        <v>396</v>
      </c>
      <c r="S983" s="1477"/>
      <c r="T983" s="1480" t="str">
        <f t="shared" si="157"/>
        <v/>
      </c>
      <c r="U983" s="1477"/>
      <c r="V983" s="1477"/>
      <c r="W983" s="1477"/>
      <c r="X983" s="1477"/>
      <c r="Y983" s="1477"/>
      <c r="Z983" s="1477"/>
    </row>
    <row r="984" spans="1:26"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80" t="s">
        <v>1985</v>
      </c>
      <c r="G984" s="1480" t="str">
        <f>IF(T984&lt;&gt;"","AI","")</f>
        <v/>
      </c>
      <c r="H984" s="1480" t="s">
        <v>2063</v>
      </c>
      <c r="I984" s="1427" t="str">
        <f t="shared" si="155"/>
        <v/>
      </c>
      <c r="J984" s="1480"/>
      <c r="K984" s="1480" t="str">
        <f t="shared" si="156"/>
        <v/>
      </c>
      <c r="L984" s="906" t="s">
        <v>1405</v>
      </c>
      <c r="M984" s="1480">
        <v>967</v>
      </c>
      <c r="N984" s="1480"/>
      <c r="O984" s="1477"/>
      <c r="P984" s="1477"/>
      <c r="Q984" s="1477"/>
      <c r="R984" s="1480" t="s">
        <v>396</v>
      </c>
      <c r="S984" s="1477"/>
      <c r="T984" s="1480" t="str">
        <f t="shared" si="157"/>
        <v/>
      </c>
      <c r="U984" s="1477"/>
      <c r="V984" s="1477"/>
      <c r="W984" s="1477"/>
      <c r="X984" s="1477"/>
      <c r="Y984" s="1477"/>
      <c r="Z984" s="1477"/>
    </row>
    <row r="985" spans="1:26"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80" t="s">
        <v>1527</v>
      </c>
      <c r="G985" s="1480" t="str">
        <f>IF(T985&lt;&gt;"","P","")</f>
        <v/>
      </c>
      <c r="H985" s="1480" t="s">
        <v>2063</v>
      </c>
      <c r="I985" s="1427" t="str">
        <f t="shared" si="155"/>
        <v/>
      </c>
      <c r="J985" s="1480" t="str">
        <f t="shared" si="158"/>
        <v/>
      </c>
      <c r="K985" s="1480" t="str">
        <f t="shared" si="156"/>
        <v/>
      </c>
      <c r="L985" s="906" t="s">
        <v>1527</v>
      </c>
      <c r="M985" s="1480">
        <v>968</v>
      </c>
      <c r="N985" s="1480"/>
      <c r="O985" s="1477"/>
      <c r="P985" s="1477"/>
      <c r="Q985" s="1477"/>
      <c r="R985" s="1480" t="s">
        <v>396</v>
      </c>
      <c r="S985" s="1477"/>
      <c r="T985" s="1480" t="str">
        <f>IF(Q$968="Yes",21,"")</f>
        <v/>
      </c>
      <c r="U985" s="1477"/>
      <c r="V985" s="1477"/>
      <c r="W985" s="1477"/>
      <c r="X985" s="1477"/>
      <c r="Y985" s="1477"/>
      <c r="Z985" s="1477"/>
    </row>
    <row r="986" spans="1:26"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80" t="s">
        <v>1510</v>
      </c>
      <c r="G986" s="1480" t="str">
        <f>IF(T986&lt;&gt;"","A","")</f>
        <v>A</v>
      </c>
      <c r="H986" s="1480" t="s">
        <v>2063</v>
      </c>
      <c r="I986" s="1427" t="str">
        <f t="shared" si="155"/>
        <v/>
      </c>
      <c r="J986" s="1480"/>
      <c r="K986" s="1480" t="str">
        <f t="shared" si="156"/>
        <v/>
      </c>
      <c r="L986" s="906" t="s">
        <v>1510</v>
      </c>
      <c r="M986" s="1480">
        <v>969</v>
      </c>
      <c r="N986" s="1480"/>
      <c r="O986" s="1477" t="s">
        <v>728</v>
      </c>
      <c r="P986" s="1477"/>
      <c r="Q986" s="1477"/>
      <c r="R986" s="1480" t="s">
        <v>1715</v>
      </c>
      <c r="S986" s="1477"/>
      <c r="T986" s="1480">
        <f>IF(Q$987="Yes",22,"")</f>
        <v>22</v>
      </c>
      <c r="U986" s="1477"/>
      <c r="V986" s="1477"/>
      <c r="W986" s="1477"/>
      <c r="X986" s="1477"/>
      <c r="Y986" s="1477"/>
      <c r="Z986" s="1477"/>
    </row>
    <row r="987" spans="1:26"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80"/>
      <c r="G987" s="1480"/>
      <c r="H987" s="1480"/>
      <c r="I987" s="1427" t="str">
        <f t="shared" si="155"/>
        <v>Offer This Incentive?</v>
      </c>
      <c r="J987" s="1480" t="str">
        <f t="shared" ref="J987:J1001" si="161">IF(M987&lt;&gt;"",IF($Q$987="Yes",Q$1&amp;M987,""))</f>
        <v>F970</v>
      </c>
      <c r="K987" s="1480" t="str">
        <f t="shared" si="156"/>
        <v>Incentives Worksheet</v>
      </c>
      <c r="L987" s="906" t="s">
        <v>1724</v>
      </c>
      <c r="M987" s="1480">
        <v>970</v>
      </c>
      <c r="N987" s="1480"/>
      <c r="O987" s="1477">
        <f>'Configurable Tab'!H24</f>
        <v>309</v>
      </c>
      <c r="P987" s="1477"/>
      <c r="Q987" s="1477" t="s">
        <v>649</v>
      </c>
      <c r="R987" s="1480" t="s">
        <v>1715</v>
      </c>
      <c r="S987" s="1477"/>
      <c r="T987" s="1480">
        <f t="shared" ref="T987:T1003" si="162">IF(Q$987="Yes",22,"")</f>
        <v>22</v>
      </c>
      <c r="U987" s="1477"/>
      <c r="V987" s="1477"/>
      <c r="W987" s="1477"/>
      <c r="X987" s="1477"/>
      <c r="Y987" s="1477"/>
      <c r="Z987" s="1477"/>
    </row>
    <row r="988" spans="1:26"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80" t="s">
        <v>1399</v>
      </c>
      <c r="G988" s="1480" t="str">
        <f>IF(T988&lt;&gt;"","B","")</f>
        <v>B</v>
      </c>
      <c r="H988" s="1480" t="s">
        <v>2063</v>
      </c>
      <c r="I988" s="1427" t="str">
        <f t="shared" si="155"/>
        <v/>
      </c>
      <c r="J988" s="1480"/>
      <c r="K988" s="1480" t="str">
        <f t="shared" si="156"/>
        <v/>
      </c>
      <c r="L988" s="906" t="s">
        <v>1399</v>
      </c>
      <c r="M988" s="1480">
        <v>971</v>
      </c>
      <c r="N988" s="1480"/>
      <c r="O988" s="1477" t="s">
        <v>729</v>
      </c>
      <c r="P988" s="1477"/>
      <c r="Q988" s="1477"/>
      <c r="R988" s="1480" t="s">
        <v>1715</v>
      </c>
      <c r="S988" s="1477"/>
      <c r="T988" s="1480">
        <f t="shared" si="162"/>
        <v>22</v>
      </c>
      <c r="U988" s="1477"/>
      <c r="V988" s="1477"/>
      <c r="W988" s="1477"/>
      <c r="X988" s="1477"/>
      <c r="Y988" s="1477"/>
      <c r="Z988" s="1477"/>
    </row>
    <row r="989" spans="1:26" x14ac:dyDescent="0.25">
      <c r="A989" s="932" t="s">
        <v>1396</v>
      </c>
      <c r="B989" s="906" t="str">
        <f t="shared" ref="B989:B995" ca="1" si="163">_xlfn.CONCAT(IFERROR(SUBSTITUTE(ADDRESS(1,MATCH(A989,INDIRECT("'"&amp;E989&amp;"'"&amp;"!A" &amp; $O$987 + 2 &amp; ":Z" &amp; $O$987 + 2),0),4),1,""),""),$O$987 + 2)</f>
        <v>H311</v>
      </c>
      <c r="C989" s="906" t="str">
        <f t="shared" ref="C989:C995" ca="1" si="164">_xlfn.CONCAT(IFERROR(SUBSTITUTE(ADDRESS(1,MATCH(A989,INDIRECT("'"&amp;E989&amp;"'"&amp;"!A" &amp; $O$987 + 2 &amp; ":Z" &amp; $O$987 + 2),0),4),1,""),""),$O$987 + 3)</f>
        <v>H312</v>
      </c>
      <c r="D989" s="906" t="s">
        <v>1365</v>
      </c>
      <c r="E989" s="906" t="s">
        <v>1535</v>
      </c>
      <c r="F989" s="1480" t="s">
        <v>2064</v>
      </c>
      <c r="G989" s="1480" t="str">
        <f>IF(T989&lt;&gt;"","E","")</f>
        <v>E</v>
      </c>
      <c r="H989" s="1480" t="s">
        <v>2063</v>
      </c>
      <c r="I989" s="1427" t="str">
        <f t="shared" si="155"/>
        <v>Incentive Period</v>
      </c>
      <c r="J989" s="1480" t="str">
        <f t="shared" si="161"/>
        <v>F972</v>
      </c>
      <c r="K989" s="1480" t="str">
        <f t="shared" si="156"/>
        <v>Incentives Worksheet</v>
      </c>
      <c r="L989" s="906" t="s">
        <v>1396</v>
      </c>
      <c r="M989" s="1480">
        <v>972</v>
      </c>
      <c r="N989" s="1480"/>
      <c r="O989" s="1477">
        <f>'Configurable Tab'!I24</f>
        <v>322</v>
      </c>
      <c r="P989" s="1477"/>
      <c r="Q989" s="1477"/>
      <c r="R989" s="1480" t="s">
        <v>1715</v>
      </c>
      <c r="S989" s="1477"/>
      <c r="T989" s="1480">
        <f t="shared" si="162"/>
        <v>22</v>
      </c>
      <c r="U989" s="1477"/>
      <c r="V989" s="1477"/>
      <c r="W989" s="1477"/>
      <c r="X989" s="1477"/>
      <c r="Y989" s="1477"/>
      <c r="Z989" s="1477"/>
    </row>
    <row r="990" spans="1:26" x14ac:dyDescent="0.25">
      <c r="A990" s="932" t="s">
        <v>1397</v>
      </c>
      <c r="B990" s="906" t="str">
        <f t="shared" ca="1" si="163"/>
        <v>J311</v>
      </c>
      <c r="C990" s="906" t="str">
        <f t="shared" ca="1" si="164"/>
        <v>J312</v>
      </c>
      <c r="D990" s="906" t="s">
        <v>1365</v>
      </c>
      <c r="E990" s="906" t="s">
        <v>1535</v>
      </c>
      <c r="F990" s="1480" t="s">
        <v>2065</v>
      </c>
      <c r="G990" s="1480" t="str">
        <f>IF(T990&lt;&gt;"","I","")</f>
        <v>I</v>
      </c>
      <c r="H990" s="1480" t="s">
        <v>2063</v>
      </c>
      <c r="I990" s="1427" t="str">
        <f t="shared" si="155"/>
        <v>Payment Method</v>
      </c>
      <c r="J990" s="1480" t="str">
        <f t="shared" si="161"/>
        <v>F973</v>
      </c>
      <c r="K990" s="1480" t="str">
        <f t="shared" si="156"/>
        <v>Incentives Worksheet</v>
      </c>
      <c r="L990" s="906" t="s">
        <v>1397</v>
      </c>
      <c r="M990" s="1480">
        <v>973</v>
      </c>
      <c r="N990" s="1480"/>
      <c r="O990" s="1477" t="s">
        <v>1668</v>
      </c>
      <c r="P990" s="1477"/>
      <c r="Q990" s="1477" t="s">
        <v>484</v>
      </c>
      <c r="R990" s="1480" t="s">
        <v>1715</v>
      </c>
      <c r="S990" s="1477"/>
      <c r="T990" s="1480">
        <f t="shared" si="162"/>
        <v>22</v>
      </c>
      <c r="U990" s="1477"/>
      <c r="V990" s="1477"/>
      <c r="W990" s="1477"/>
      <c r="X990" s="1477"/>
      <c r="Y990" s="1477"/>
      <c r="Z990" s="1477"/>
    </row>
    <row r="991" spans="1:26" x14ac:dyDescent="0.25">
      <c r="A991" s="932" t="s">
        <v>1413</v>
      </c>
      <c r="B991" s="906" t="str">
        <f t="shared" ca="1" si="163"/>
        <v>L311</v>
      </c>
      <c r="C991" s="906" t="str">
        <f t="shared" ca="1" si="164"/>
        <v>L312</v>
      </c>
      <c r="D991" s="906" t="s">
        <v>1365</v>
      </c>
      <c r="E991" s="906" t="s">
        <v>1535</v>
      </c>
      <c r="F991" s="1480" t="s">
        <v>2066</v>
      </c>
      <c r="G991" s="1480" t="str">
        <f>IF(T991&lt;&gt;"","H","")</f>
        <v>H</v>
      </c>
      <c r="H991" s="1480" t="s">
        <v>2063</v>
      </c>
      <c r="I991" s="1427" t="str">
        <f t="shared" si="155"/>
        <v>Paid To</v>
      </c>
      <c r="J991" s="1480" t="str">
        <f t="shared" si="161"/>
        <v>F974</v>
      </c>
      <c r="K991" s="1480" t="str">
        <f t="shared" si="156"/>
        <v>Incentives Worksheet</v>
      </c>
      <c r="L991" s="906" t="s">
        <v>1413</v>
      </c>
      <c r="M991" s="1480">
        <v>974</v>
      </c>
      <c r="N991" s="1480"/>
      <c r="O991" s="1477"/>
      <c r="P991" s="1477"/>
      <c r="Q991" s="1477"/>
      <c r="R991" s="1480" t="s">
        <v>1715</v>
      </c>
      <c r="S991" s="1477"/>
      <c r="T991" s="1480">
        <f t="shared" si="162"/>
        <v>22</v>
      </c>
      <c r="U991" s="1477"/>
      <c r="V991" s="1477"/>
      <c r="W991" s="1477"/>
      <c r="X991" s="1477"/>
      <c r="Y991" s="1477"/>
      <c r="Z991" s="1477"/>
    </row>
    <row r="992" spans="1:26" x14ac:dyDescent="0.25">
      <c r="A992" s="932" t="s">
        <v>1398</v>
      </c>
      <c r="B992" s="906" t="str">
        <f t="shared" ca="1" si="163"/>
        <v>N311</v>
      </c>
      <c r="C992" s="906" t="str">
        <f t="shared" ca="1" si="164"/>
        <v>N312</v>
      </c>
      <c r="D992" s="906" t="s">
        <v>1365</v>
      </c>
      <c r="E992" s="906" t="s">
        <v>1535</v>
      </c>
      <c r="F992" s="1480" t="s">
        <v>1398</v>
      </c>
      <c r="G992" s="1480" t="str">
        <f>IF(T992&lt;&gt;"",IF(Q990="Credit Memo","J",IF(Q990="Check","K","")),"")</f>
        <v>J</v>
      </c>
      <c r="H992" s="1480" t="s">
        <v>2063</v>
      </c>
      <c r="I992" s="1427" t="str">
        <f t="shared" si="155"/>
        <v>AP/AR Vendor Number</v>
      </c>
      <c r="J992" s="1480" t="str">
        <f t="shared" si="161"/>
        <v>F975</v>
      </c>
      <c r="K992" s="1480" t="str">
        <f t="shared" si="156"/>
        <v>Incentives Worksheet</v>
      </c>
      <c r="L992" s="906" t="s">
        <v>1398</v>
      </c>
      <c r="M992" s="1480">
        <v>975</v>
      </c>
      <c r="N992" s="1480"/>
      <c r="O992" s="1477"/>
      <c r="P992" s="1477"/>
      <c r="Q992" s="1477"/>
      <c r="R992" s="1480" t="s">
        <v>1715</v>
      </c>
      <c r="S992" s="1477"/>
      <c r="T992" s="1480">
        <f t="shared" si="162"/>
        <v>22</v>
      </c>
      <c r="U992" s="1477"/>
      <c r="V992" s="1477"/>
      <c r="W992" s="1477"/>
      <c r="X992" s="1477"/>
      <c r="Y992" s="1477"/>
      <c r="Z992" s="1477"/>
    </row>
    <row r="993" spans="1:26" x14ac:dyDescent="0.25">
      <c r="A993" s="932" t="s">
        <v>1505</v>
      </c>
      <c r="B993" s="906" t="str">
        <f t="shared" ca="1" si="163"/>
        <v>P311</v>
      </c>
      <c r="C993" s="906" t="str">
        <f t="shared" ca="1" si="164"/>
        <v>P312</v>
      </c>
      <c r="D993" s="906" t="s">
        <v>1365</v>
      </c>
      <c r="E993" s="906" t="s">
        <v>1535</v>
      </c>
      <c r="F993" s="1480" t="s">
        <v>2067</v>
      </c>
      <c r="G993" s="1480" t="str">
        <f>IF(T993&lt;&gt;"","F","")</f>
        <v>F</v>
      </c>
      <c r="H993" s="1480" t="s">
        <v>2063</v>
      </c>
      <c r="I993" s="1427" t="str">
        <f t="shared" si="155"/>
        <v>Qualifying Cycle</v>
      </c>
      <c r="J993" s="1480" t="str">
        <f t="shared" si="161"/>
        <v>F976</v>
      </c>
      <c r="K993" s="1480" t="str">
        <f t="shared" si="156"/>
        <v>Incentives Worksheet</v>
      </c>
      <c r="L993" s="906" t="s">
        <v>1505</v>
      </c>
      <c r="M993" s="1480">
        <v>976</v>
      </c>
      <c r="N993" s="1480"/>
      <c r="O993" s="1477"/>
      <c r="P993" s="1477"/>
      <c r="Q993" s="1477"/>
      <c r="R993" s="1480" t="s">
        <v>1715</v>
      </c>
      <c r="S993" s="1477"/>
      <c r="T993" s="1480">
        <f t="shared" si="162"/>
        <v>22</v>
      </c>
      <c r="U993" s="1477"/>
      <c r="V993" s="1477"/>
      <c r="W993" s="1477"/>
      <c r="X993" s="1477"/>
      <c r="Y993" s="1477"/>
      <c r="Z993" s="1477"/>
    </row>
    <row r="994" spans="1:26" x14ac:dyDescent="0.25">
      <c r="A994" s="932" t="s">
        <v>1506</v>
      </c>
      <c r="B994" s="906" t="str">
        <f t="shared" ca="1" si="163"/>
        <v>R311</v>
      </c>
      <c r="C994" s="906" t="str">
        <f t="shared" ca="1" si="164"/>
        <v>R312</v>
      </c>
      <c r="D994" s="906" t="s">
        <v>1365</v>
      </c>
      <c r="E994" s="906" t="s">
        <v>1535</v>
      </c>
      <c r="F994" s="1480" t="s">
        <v>2068</v>
      </c>
      <c r="G994" s="1480" t="str">
        <f>IF(T994&lt;&gt;"","G","")</f>
        <v>G</v>
      </c>
      <c r="H994" s="1480" t="s">
        <v>2063</v>
      </c>
      <c r="I994" s="1427" t="str">
        <f t="shared" si="155"/>
        <v>Incentive Calendar</v>
      </c>
      <c r="J994" s="1480" t="str">
        <f t="shared" si="161"/>
        <v>F977</v>
      </c>
      <c r="K994" s="1480" t="str">
        <f t="shared" si="156"/>
        <v>Incentives Worksheet</v>
      </c>
      <c r="L994" s="906" t="s">
        <v>1506</v>
      </c>
      <c r="M994" s="1480">
        <v>977</v>
      </c>
      <c r="N994" s="1480"/>
      <c r="O994" s="1477"/>
      <c r="P994" s="1477"/>
      <c r="Q994" s="1477"/>
      <c r="R994" s="1480" t="s">
        <v>1715</v>
      </c>
      <c r="S994" s="1477"/>
      <c r="T994" s="1480">
        <f t="shared" si="162"/>
        <v>22</v>
      </c>
      <c r="U994" s="1477"/>
      <c r="V994" s="1477"/>
      <c r="W994" s="1477"/>
      <c r="X994" s="1477"/>
      <c r="Y994" s="1477"/>
      <c r="Z994" s="1477"/>
    </row>
    <row r="995" spans="1:26" x14ac:dyDescent="0.25">
      <c r="A995" s="932" t="s">
        <v>1507</v>
      </c>
      <c r="B995" s="906" t="str">
        <f t="shared" ca="1" si="163"/>
        <v>T311</v>
      </c>
      <c r="C995" s="906" t="str">
        <f t="shared" ca="1" si="164"/>
        <v>T312</v>
      </c>
      <c r="D995" s="906" t="s">
        <v>1365</v>
      </c>
      <c r="E995" s="906" t="s">
        <v>1535</v>
      </c>
      <c r="F995" s="923" t="s">
        <v>1507</v>
      </c>
      <c r="G995" s="1480" t="str">
        <f>IF(T995&lt;&gt;"","AW","")</f>
        <v>AW</v>
      </c>
      <c r="H995" s="1480" t="s">
        <v>2063</v>
      </c>
      <c r="I995" s="1427" t="str">
        <f t="shared" si="155"/>
        <v>Post to GL Payment Method Flag</v>
      </c>
      <c r="J995" s="1480" t="str">
        <f t="shared" si="161"/>
        <v>F978</v>
      </c>
      <c r="K995" s="1480" t="str">
        <f t="shared" si="156"/>
        <v>Incentives Worksheet</v>
      </c>
      <c r="L995" s="906" t="s">
        <v>1507</v>
      </c>
      <c r="M995" s="1480">
        <v>978</v>
      </c>
      <c r="N995" s="1480"/>
      <c r="O995" s="1477"/>
      <c r="P995" s="1477"/>
      <c r="Q995" s="1477"/>
      <c r="R995" s="1480" t="s">
        <v>1715</v>
      </c>
      <c r="S995" s="1477"/>
      <c r="T995" s="1480">
        <f t="shared" si="162"/>
        <v>22</v>
      </c>
      <c r="U995" s="1477"/>
      <c r="V995" s="1477"/>
      <c r="W995" s="1477"/>
      <c r="X995" s="1477"/>
      <c r="Y995" s="1477"/>
      <c r="Z995" s="1477"/>
    </row>
    <row r="996" spans="1:26"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80" t="s">
        <v>1401</v>
      </c>
      <c r="G996" s="1480" t="str">
        <f>IF(T996&lt;&gt;"","C","")</f>
        <v>C</v>
      </c>
      <c r="H996" s="1480" t="s">
        <v>2063</v>
      </c>
      <c r="I996" s="1427" t="str">
        <f t="shared" si="155"/>
        <v/>
      </c>
      <c r="J996" s="1480"/>
      <c r="K996" s="1480" t="str">
        <f t="shared" si="156"/>
        <v/>
      </c>
      <c r="L996" s="906" t="s">
        <v>1401</v>
      </c>
      <c r="M996" s="1480">
        <v>979</v>
      </c>
      <c r="N996" s="1480"/>
      <c r="O996" s="1477"/>
      <c r="P996" s="1477"/>
      <c r="Q996" s="1477"/>
      <c r="R996" s="1480" t="s">
        <v>1715</v>
      </c>
      <c r="S996" s="1477"/>
      <c r="T996" s="1480">
        <f t="shared" si="162"/>
        <v>22</v>
      </c>
      <c r="U996" s="1477"/>
      <c r="V996" s="1477"/>
      <c r="W996" s="1477"/>
      <c r="X996" s="1477"/>
      <c r="Y996" s="1477"/>
      <c r="Z996" s="1477"/>
    </row>
    <row r="997" spans="1:26"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80" t="s">
        <v>1402</v>
      </c>
      <c r="G997" s="1480" t="str">
        <f>IF(T997&lt;&gt;"","D","")</f>
        <v>D</v>
      </c>
      <c r="H997" s="1480" t="s">
        <v>2063</v>
      </c>
      <c r="I997" s="1427" t="str">
        <f t="shared" si="155"/>
        <v/>
      </c>
      <c r="J997" s="1480"/>
      <c r="K997" s="1480" t="str">
        <f t="shared" si="156"/>
        <v/>
      </c>
      <c r="L997" s="906" t="s">
        <v>1402</v>
      </c>
      <c r="M997" s="1480">
        <v>980</v>
      </c>
      <c r="N997" s="1480"/>
      <c r="O997" s="1477"/>
      <c r="P997" s="1477"/>
      <c r="Q997" s="1477"/>
      <c r="R997" s="1480" t="s">
        <v>1715</v>
      </c>
      <c r="S997" s="1477"/>
      <c r="T997" s="1480">
        <f t="shared" si="162"/>
        <v>22</v>
      </c>
      <c r="U997" s="1477"/>
      <c r="V997" s="1477"/>
      <c r="W997" s="1477"/>
      <c r="X997" s="1477"/>
      <c r="Y997" s="1477"/>
      <c r="Z997" s="1477"/>
    </row>
    <row r="998" spans="1:26"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80" t="s">
        <v>1514</v>
      </c>
      <c r="G998" s="1480" t="str">
        <f>IF(T998&lt;&gt;"","AN","")</f>
        <v>AN</v>
      </c>
      <c r="H998" s="1480" t="s">
        <v>2063</v>
      </c>
      <c r="I998" s="1427" t="str">
        <f t="shared" si="155"/>
        <v>Incentive Dates Match Agreement Dates Flag</v>
      </c>
      <c r="J998" s="1480" t="str">
        <f t="shared" si="161"/>
        <v>F981</v>
      </c>
      <c r="K998" s="1480" t="str">
        <f t="shared" si="156"/>
        <v>Incentives Worksheet</v>
      </c>
      <c r="L998" s="906" t="s">
        <v>1514</v>
      </c>
      <c r="M998" s="1480">
        <v>981</v>
      </c>
      <c r="N998" s="1480"/>
      <c r="O998" s="1477"/>
      <c r="P998" s="1484" t="str" cm="1">
        <f t="array" aca="1" ref="P998" ca="1">_xlfn.CONCAT("F",RIGHT(B998, LEN(B998) - MAX(IF(ISNUMBER(MID(B998, ROW(INDIRECT("1:"&amp;LEN(B998))), 1) *1)=FALSE, ROW(INDIRECT("1:"&amp;LEN(B998))), 0))))</f>
        <v>F319</v>
      </c>
      <c r="Q998" s="1480" t="str" cm="1">
        <f t="array" aca="1" ref="Q998" ca="1">_xlfn.CONCAT("E",RIGHT(C998, LEN(C998) - MAX(IF(ISNUMBER(MID(C998, ROW(INDIRECT("1:"&amp;LEN(C998))), 1) *1)=FALSE, ROW(INDIRECT("1:"&amp;LEN(C998))), 0))))</f>
        <v>E319</v>
      </c>
      <c r="R998" s="1480" t="s">
        <v>1715</v>
      </c>
      <c r="S998" s="1477"/>
      <c r="T998" s="1480">
        <f t="shared" si="162"/>
        <v>22</v>
      </c>
      <c r="U998" s="1477"/>
      <c r="V998" s="1477"/>
      <c r="W998" s="1477"/>
      <c r="X998" s="1477"/>
      <c r="Y998" s="1477"/>
      <c r="Z998" s="1477"/>
    </row>
    <row r="999" spans="1:26"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80" t="s">
        <v>1511</v>
      </c>
      <c r="G999" s="1480" t="str">
        <f>IF(T999&lt;&gt;"","AL","")</f>
        <v>AL</v>
      </c>
      <c r="H999" s="1480" t="s">
        <v>2063</v>
      </c>
      <c r="I999" s="1427" t="str">
        <f t="shared" si="155"/>
        <v>Include All Customers Flag</v>
      </c>
      <c r="J999" s="1480" t="str">
        <f t="shared" si="161"/>
        <v>F982</v>
      </c>
      <c r="K999" s="1480" t="str">
        <f t="shared" si="156"/>
        <v>Incentives Worksheet</v>
      </c>
      <c r="L999" s="906" t="s">
        <v>1511</v>
      </c>
      <c r="M999" s="1480">
        <v>982</v>
      </c>
      <c r="N999" s="1480"/>
      <c r="O999" s="1477"/>
      <c r="P999" s="1477"/>
      <c r="Q999" s="1477"/>
      <c r="R999" s="1480" t="s">
        <v>1715</v>
      </c>
      <c r="S999" s="1477"/>
      <c r="T999" s="1480">
        <f t="shared" si="162"/>
        <v>22</v>
      </c>
      <c r="U999" s="1477"/>
      <c r="V999" s="1477"/>
      <c r="W999" s="1477"/>
      <c r="X999" s="1477"/>
      <c r="Y999" s="1477"/>
      <c r="Z999" s="1477"/>
    </row>
    <row r="1000" spans="1:26"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80" t="s">
        <v>2069</v>
      </c>
      <c r="G1000" s="1480" t="str">
        <f>IF(T1000&lt;&gt;"","L","")</f>
        <v>L</v>
      </c>
      <c r="H1000" s="1480" t="s">
        <v>2063</v>
      </c>
      <c r="I1000" s="1427" t="str">
        <f t="shared" si="155"/>
        <v>Customer Aggregation</v>
      </c>
      <c r="J1000" s="1480" t="str">
        <f t="shared" si="161"/>
        <v>F983</v>
      </c>
      <c r="K1000" s="1480" t="str">
        <f t="shared" si="156"/>
        <v>Incentives Worksheet</v>
      </c>
      <c r="L1000" s="906" t="s">
        <v>1525</v>
      </c>
      <c r="M1000" s="1480">
        <v>983</v>
      </c>
      <c r="N1000" s="1480"/>
      <c r="O1000" s="1477"/>
      <c r="P1000" s="1477"/>
      <c r="Q1000" s="1477"/>
      <c r="R1000" s="1480" t="s">
        <v>1715</v>
      </c>
      <c r="S1000" s="1477"/>
      <c r="T1000" s="1480">
        <f t="shared" si="162"/>
        <v>22</v>
      </c>
      <c r="U1000" s="1477"/>
      <c r="V1000" s="1477"/>
      <c r="W1000" s="1477"/>
      <c r="X1000" s="1477"/>
      <c r="Y1000" s="1477"/>
      <c r="Z1000" s="1477"/>
    </row>
    <row r="1001" spans="1:26"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80" t="str">
        <f>IF(T1001&lt;&gt;"","AH","")</f>
        <v>AH</v>
      </c>
      <c r="H1001" s="1480" t="s">
        <v>2063</v>
      </c>
      <c r="I1001" s="1427" t="str">
        <f t="shared" si="155"/>
        <v>Minimum Units</v>
      </c>
      <c r="J1001" s="1480" t="str">
        <f t="shared" si="161"/>
        <v>F984</v>
      </c>
      <c r="K1001" s="1480" t="str">
        <f t="shared" si="156"/>
        <v>Incentives Worksheet</v>
      </c>
      <c r="L1001" s="906" t="s">
        <v>1403</v>
      </c>
      <c r="M1001" s="1480">
        <v>984</v>
      </c>
      <c r="N1001" s="1480"/>
      <c r="O1001" s="1477"/>
      <c r="P1001" s="1477"/>
      <c r="Q1001" s="1477"/>
      <c r="R1001" s="1480" t="s">
        <v>1715</v>
      </c>
      <c r="S1001" s="1477"/>
      <c r="T1001" s="1480">
        <f t="shared" si="162"/>
        <v>22</v>
      </c>
      <c r="U1001" s="1477"/>
      <c r="V1001" s="1477"/>
      <c r="W1001" s="1477"/>
      <c r="X1001" s="1477"/>
      <c r="Y1001" s="1477"/>
      <c r="Z1001" s="1477"/>
    </row>
    <row r="1002" spans="1:26"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80"/>
      <c r="H1002" s="1480"/>
      <c r="I1002" s="1427" t="str">
        <f t="shared" si="155"/>
        <v/>
      </c>
      <c r="J1002" s="1480"/>
      <c r="K1002" s="1480" t="str">
        <f t="shared" si="156"/>
        <v/>
      </c>
      <c r="L1002" s="906" t="s">
        <v>1404</v>
      </c>
      <c r="M1002" s="1480">
        <v>985</v>
      </c>
      <c r="N1002" s="1480"/>
      <c r="O1002" s="1477"/>
      <c r="P1002" s="1477"/>
      <c r="Q1002" s="1477"/>
      <c r="R1002" s="1480" t="s">
        <v>1715</v>
      </c>
      <c r="S1002" s="1477"/>
      <c r="T1002" s="1480">
        <f t="shared" si="162"/>
        <v>22</v>
      </c>
      <c r="U1002" s="1477"/>
      <c r="V1002" s="1477"/>
      <c r="W1002" s="1477"/>
      <c r="X1002" s="1477"/>
      <c r="Y1002" s="1477"/>
      <c r="Z1002" s="1477"/>
    </row>
    <row r="1003" spans="1:26"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80" t="s">
        <v>1985</v>
      </c>
      <c r="G1003" s="1480" t="str">
        <f>IF(T1003&lt;&gt;"","AI","")</f>
        <v>AI</v>
      </c>
      <c r="H1003" s="1480" t="s">
        <v>2063</v>
      </c>
      <c r="I1003" s="1427" t="str">
        <f t="shared" si="155"/>
        <v/>
      </c>
      <c r="J1003" s="1480"/>
      <c r="K1003" s="1480" t="str">
        <f t="shared" si="156"/>
        <v/>
      </c>
      <c r="L1003" s="906" t="s">
        <v>1405</v>
      </c>
      <c r="M1003" s="1480">
        <v>986</v>
      </c>
      <c r="N1003" s="1480"/>
      <c r="O1003" s="1477"/>
      <c r="P1003" s="1477"/>
      <c r="Q1003" s="1477"/>
      <c r="R1003" s="1480" t="s">
        <v>1715</v>
      </c>
      <c r="S1003" s="1477"/>
      <c r="T1003" s="1480">
        <f t="shared" si="162"/>
        <v>22</v>
      </c>
      <c r="U1003" s="1477"/>
      <c r="V1003" s="1477"/>
      <c r="W1003" s="1477"/>
      <c r="X1003" s="1477"/>
      <c r="Y1003" s="1477"/>
      <c r="Z1003" s="1477"/>
    </row>
    <row r="1004" spans="1:26"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80" t="s">
        <v>1510</v>
      </c>
      <c r="G1004" s="1480" t="str">
        <f>IF(T1004&lt;&gt;"","A","")</f>
        <v/>
      </c>
      <c r="H1004" s="1480" t="s">
        <v>2063</v>
      </c>
      <c r="I1004" s="1427" t="str">
        <f t="shared" si="155"/>
        <v/>
      </c>
      <c r="J1004" s="1480"/>
      <c r="K1004" s="1480" t="str">
        <f t="shared" si="156"/>
        <v/>
      </c>
      <c r="L1004" s="906" t="s">
        <v>1510</v>
      </c>
      <c r="M1004" s="1480">
        <v>987</v>
      </c>
      <c r="N1004" s="1480"/>
      <c r="O1004" s="1477" t="s">
        <v>728</v>
      </c>
      <c r="P1004" s="1477"/>
      <c r="Q1004" s="1477"/>
      <c r="R1004" s="1480" t="s">
        <v>483</v>
      </c>
      <c r="S1004" s="1477"/>
      <c r="T1004" s="1480" t="str">
        <f>IF(Q$1005="Yes",23,"")</f>
        <v/>
      </c>
      <c r="U1004" s="1477"/>
      <c r="V1004" s="1477"/>
      <c r="W1004" s="1477"/>
      <c r="X1004" s="1477"/>
      <c r="Y1004" s="1477"/>
      <c r="Z1004" s="1477"/>
    </row>
    <row r="1005" spans="1:26"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80"/>
      <c r="G1005" s="1480"/>
      <c r="H1005" s="1480"/>
      <c r="I1005" s="1427" t="str">
        <f t="shared" si="155"/>
        <v/>
      </c>
      <c r="J1005" s="1480" t="str">
        <f t="shared" ref="J1005:J1014" si="165">IF(M1005&lt;&gt;"",IF($Q$1005="Yes",Q$1&amp;M1005,""))</f>
        <v/>
      </c>
      <c r="K1005" s="1480" t="str">
        <f t="shared" si="156"/>
        <v/>
      </c>
      <c r="L1005" s="906" t="s">
        <v>1724</v>
      </c>
      <c r="M1005" s="1480">
        <v>988</v>
      </c>
      <c r="N1005" s="1480"/>
      <c r="O1005" s="1477">
        <f>'Configurable Tab'!H25</f>
        <v>323</v>
      </c>
      <c r="P1005" s="1477"/>
      <c r="Q1005" s="1477" t="s">
        <v>651</v>
      </c>
      <c r="R1005" s="1480" t="s">
        <v>483</v>
      </c>
      <c r="S1005" s="1477"/>
      <c r="T1005" s="1480" t="str">
        <f t="shared" ref="T1005:T1011" si="166">IF(Q$1005="Yes",23,"")</f>
        <v/>
      </c>
      <c r="U1005" s="1477"/>
      <c r="V1005" s="1477"/>
      <c r="W1005" s="1477"/>
      <c r="X1005" s="1477"/>
      <c r="Y1005" s="1477"/>
      <c r="Z1005" s="1477"/>
    </row>
    <row r="1006" spans="1:26"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80" t="s">
        <v>1399</v>
      </c>
      <c r="G1006" s="1480" t="str">
        <f>IF(T1006&lt;&gt;"","B","")</f>
        <v/>
      </c>
      <c r="H1006" s="1480" t="s">
        <v>2063</v>
      </c>
      <c r="I1006" s="1427" t="str">
        <f t="shared" si="155"/>
        <v/>
      </c>
      <c r="J1006" s="1480"/>
      <c r="K1006" s="1480" t="str">
        <f t="shared" si="156"/>
        <v/>
      </c>
      <c r="L1006" s="906" t="s">
        <v>1399</v>
      </c>
      <c r="M1006" s="1480">
        <v>989</v>
      </c>
      <c r="N1006" s="1480"/>
      <c r="O1006" s="1477" t="s">
        <v>729</v>
      </c>
      <c r="P1006" s="1477"/>
      <c r="Q1006" s="1477"/>
      <c r="R1006" s="1480" t="s">
        <v>483</v>
      </c>
      <c r="S1006" s="1477"/>
      <c r="T1006" s="1480" t="str">
        <f t="shared" si="166"/>
        <v/>
      </c>
      <c r="U1006" s="1477"/>
      <c r="V1006" s="1477"/>
      <c r="W1006" s="1477"/>
      <c r="X1006" s="1477"/>
      <c r="Y1006" s="1477"/>
      <c r="Z1006" s="1477"/>
    </row>
    <row r="1007" spans="1:26"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80" t="s">
        <v>2065</v>
      </c>
      <c r="G1007" s="1480" t="str">
        <f>IF(T1007&lt;&gt;"","I","")</f>
        <v/>
      </c>
      <c r="H1007" s="1480" t="s">
        <v>2063</v>
      </c>
      <c r="I1007" s="1427" t="str">
        <f t="shared" si="155"/>
        <v/>
      </c>
      <c r="J1007" s="1480" t="str">
        <f t="shared" si="165"/>
        <v/>
      </c>
      <c r="K1007" s="1480" t="str">
        <f t="shared" si="156"/>
        <v/>
      </c>
      <c r="L1007" s="906" t="s">
        <v>1397</v>
      </c>
      <c r="M1007" s="1480">
        <v>990</v>
      </c>
      <c r="N1007" s="1480"/>
      <c r="O1007" s="1477">
        <f>'Configurable Tab'!I25</f>
        <v>336</v>
      </c>
      <c r="P1007" s="1477"/>
      <c r="Q1007" s="1477"/>
      <c r="R1007" s="1480" t="s">
        <v>483</v>
      </c>
      <c r="S1007" s="1477"/>
      <c r="T1007" s="1480" t="str">
        <f t="shared" si="166"/>
        <v/>
      </c>
      <c r="U1007" s="1477"/>
      <c r="V1007" s="1477"/>
      <c r="W1007" s="1477"/>
      <c r="X1007" s="1477"/>
      <c r="Y1007" s="1477"/>
      <c r="Z1007" s="1477"/>
    </row>
    <row r="1008" spans="1:26"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80" t="s">
        <v>2066</v>
      </c>
      <c r="G1008" s="1480" t="str">
        <f>IF(T1008&lt;&gt;"","H","")</f>
        <v/>
      </c>
      <c r="H1008" s="1480" t="s">
        <v>2063</v>
      </c>
      <c r="I1008" s="1427" t="str">
        <f t="shared" si="155"/>
        <v/>
      </c>
      <c r="J1008" s="1480" t="str">
        <f t="shared" si="165"/>
        <v/>
      </c>
      <c r="K1008" s="1480" t="str">
        <f t="shared" si="156"/>
        <v/>
      </c>
      <c r="L1008" s="906" t="s">
        <v>1413</v>
      </c>
      <c r="M1008" s="1480">
        <v>991</v>
      </c>
      <c r="N1008" s="1480"/>
      <c r="O1008" s="1477" t="s">
        <v>1669</v>
      </c>
      <c r="P1008" s="1477"/>
      <c r="Q1008" s="1477"/>
      <c r="R1008" s="1480" t="s">
        <v>483</v>
      </c>
      <c r="S1008" s="1477"/>
      <c r="T1008" s="1480" t="str">
        <f t="shared" si="166"/>
        <v/>
      </c>
      <c r="U1008" s="1477"/>
      <c r="V1008" s="1477"/>
      <c r="W1008" s="1477"/>
      <c r="X1008" s="1477"/>
      <c r="Y1008" s="1477"/>
      <c r="Z1008" s="1477"/>
    </row>
    <row r="1009" spans="1:26"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80" t="s">
        <v>1398</v>
      </c>
      <c r="G1009" s="1480" t="str">
        <f>IF(T1009&lt;&gt;"",IF(Q1007="Credit Memo","J",IF(Q1007="Check","K","")),"")</f>
        <v/>
      </c>
      <c r="H1009" s="1480" t="s">
        <v>2063</v>
      </c>
      <c r="I1009" s="1427" t="str">
        <f t="shared" si="155"/>
        <v/>
      </c>
      <c r="J1009" s="1480" t="str">
        <f t="shared" si="165"/>
        <v/>
      </c>
      <c r="K1009" s="1480" t="str">
        <f t="shared" si="156"/>
        <v/>
      </c>
      <c r="L1009" s="906" t="s">
        <v>1398</v>
      </c>
      <c r="M1009" s="1480">
        <v>992</v>
      </c>
      <c r="N1009" s="1480"/>
      <c r="O1009" s="1477"/>
      <c r="P1009" s="1477"/>
      <c r="Q1009" s="1477"/>
      <c r="R1009" s="1480" t="s">
        <v>483</v>
      </c>
      <c r="S1009" s="1477"/>
      <c r="T1009" s="1480" t="str">
        <f t="shared" si="166"/>
        <v/>
      </c>
      <c r="U1009" s="1477"/>
      <c r="V1009" s="1477"/>
      <c r="W1009" s="1477"/>
      <c r="X1009" s="1477"/>
      <c r="Y1009" s="1477"/>
      <c r="Z1009" s="1477"/>
    </row>
    <row r="1010" spans="1:26"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80" t="s">
        <v>1401</v>
      </c>
      <c r="G1010" s="1480" t="str">
        <f>IF(T1010&lt;&gt;"","C","")</f>
        <v/>
      </c>
      <c r="H1010" s="1480" t="s">
        <v>2063</v>
      </c>
      <c r="I1010" s="1427" t="str">
        <f t="shared" si="155"/>
        <v/>
      </c>
      <c r="J1010" s="1480"/>
      <c r="K1010" s="1480" t="str">
        <f t="shared" si="156"/>
        <v/>
      </c>
      <c r="L1010" s="906" t="s">
        <v>1401</v>
      </c>
      <c r="M1010" s="1480">
        <v>993</v>
      </c>
      <c r="N1010" s="1480"/>
      <c r="O1010" s="1477"/>
      <c r="P1010" s="1477"/>
      <c r="Q1010" s="1477"/>
      <c r="R1010" s="1480" t="s">
        <v>483</v>
      </c>
      <c r="S1010" s="1477"/>
      <c r="T1010" s="1480" t="str">
        <f t="shared" si="166"/>
        <v/>
      </c>
      <c r="U1010" s="1477"/>
      <c r="V1010" s="1477"/>
      <c r="W1010" s="1477"/>
      <c r="X1010" s="1477"/>
      <c r="Y1010" s="1477"/>
      <c r="Z1010" s="1477"/>
    </row>
    <row r="1011" spans="1:26"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80" t="s">
        <v>1402</v>
      </c>
      <c r="G1011" s="1480" t="str">
        <f>IF(T1011&lt;&gt;"","D","")</f>
        <v/>
      </c>
      <c r="H1011" s="1480" t="s">
        <v>2063</v>
      </c>
      <c r="I1011" s="1427" t="str">
        <f t="shared" si="155"/>
        <v/>
      </c>
      <c r="J1011" s="1480"/>
      <c r="K1011" s="1480" t="str">
        <f t="shared" si="156"/>
        <v/>
      </c>
      <c r="L1011" s="906" t="s">
        <v>1402</v>
      </c>
      <c r="M1011" s="1480">
        <v>994</v>
      </c>
      <c r="N1011" s="1480"/>
      <c r="O1011" s="1477"/>
      <c r="P1011" s="1477"/>
      <c r="Q1011" s="1477"/>
      <c r="R1011" s="1480" t="s">
        <v>483</v>
      </c>
      <c r="S1011" s="1477"/>
      <c r="T1011" s="1480" t="str">
        <f t="shared" si="166"/>
        <v/>
      </c>
      <c r="U1011" s="1477"/>
      <c r="V1011" s="1477"/>
      <c r="W1011" s="1477"/>
      <c r="X1011" s="1477"/>
      <c r="Y1011" s="1477"/>
      <c r="Z1011" s="1477"/>
    </row>
    <row r="1012" spans="1:26"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80" t="s">
        <v>1514</v>
      </c>
      <c r="G1012" s="1480" t="str">
        <f>IF(T1012&lt;&gt;"","AN","")</f>
        <v/>
      </c>
      <c r="H1012" s="1480" t="s">
        <v>2063</v>
      </c>
      <c r="I1012" s="1427" t="str">
        <f t="shared" si="155"/>
        <v/>
      </c>
      <c r="J1012" s="1480" t="str">
        <f t="shared" si="165"/>
        <v/>
      </c>
      <c r="K1012" s="1480" t="str">
        <f t="shared" si="156"/>
        <v/>
      </c>
      <c r="L1012" s="906" t="s">
        <v>1514</v>
      </c>
      <c r="M1012" s="1480">
        <v>995</v>
      </c>
      <c r="N1012" s="1480"/>
      <c r="O1012" s="1477"/>
      <c r="P1012" s="1484" t="str" cm="1">
        <f t="array" aca="1" ref="P1012" ca="1">_xlfn.CONCAT("F",RIGHT(B1012, LEN(B1012) - MAX(IF(ISNUMBER(MID(B1012, ROW(INDIRECT("1:"&amp;LEN(B1012))), 1) *1)=FALSE, ROW(INDIRECT("1:"&amp;LEN(B1012))), 0))))</f>
        <v>F333</v>
      </c>
      <c r="Q1012" s="1480" t="str" cm="1">
        <f t="array" aca="1" ref="Q1012" ca="1">_xlfn.CONCAT("E",RIGHT(C1012, LEN(C1012) - MAX(IF(ISNUMBER(MID(C1012, ROW(INDIRECT("1:"&amp;LEN(C1012))), 1) *1)=FALSE, ROW(INDIRECT("1:"&amp;LEN(C1012))), 0))))</f>
        <v>E333</v>
      </c>
      <c r="R1012" s="1480" t="s">
        <v>483</v>
      </c>
      <c r="S1012" s="1477"/>
      <c r="T1012" s="1480" t="str">
        <f>IF(Q$1005="Yes",23,"")</f>
        <v/>
      </c>
      <c r="U1012" s="1477"/>
      <c r="V1012" s="1477"/>
      <c r="W1012" s="1477"/>
      <c r="X1012" s="1477"/>
      <c r="Y1012" s="1477"/>
      <c r="Z1012" s="1477"/>
    </row>
    <row r="1013" spans="1:26"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80" t="s">
        <v>1511</v>
      </c>
      <c r="G1013" s="1480" t="str">
        <f>IF(T1013&lt;&gt;"","AL","")</f>
        <v/>
      </c>
      <c r="H1013" s="1480" t="s">
        <v>2063</v>
      </c>
      <c r="I1013" s="1427" t="str">
        <f t="shared" si="155"/>
        <v/>
      </c>
      <c r="J1013" s="1480" t="str">
        <f t="shared" si="165"/>
        <v/>
      </c>
      <c r="K1013" s="1480" t="str">
        <f t="shared" si="156"/>
        <v/>
      </c>
      <c r="L1013" s="906" t="s">
        <v>1511</v>
      </c>
      <c r="M1013" s="1480">
        <v>996</v>
      </c>
      <c r="N1013" s="1480"/>
      <c r="O1013" s="1477"/>
      <c r="P1013" s="1477"/>
      <c r="Q1013" s="1477"/>
      <c r="R1013" s="1480" t="s">
        <v>483</v>
      </c>
      <c r="S1013" s="1477"/>
      <c r="T1013" s="1480" t="str">
        <f>IF(Q$1005="Yes",23,"")</f>
        <v/>
      </c>
      <c r="U1013" s="1477"/>
      <c r="V1013" s="1477"/>
      <c r="W1013" s="1477"/>
      <c r="X1013" s="1477"/>
      <c r="Y1013" s="1477"/>
      <c r="Z1013" s="1477"/>
    </row>
    <row r="1014" spans="1:26"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80"/>
      <c r="G1014" s="1480"/>
      <c r="H1014" s="1480"/>
      <c r="I1014" s="1427" t="str">
        <f t="shared" si="155"/>
        <v/>
      </c>
      <c r="J1014" s="1480" t="str">
        <f t="shared" si="165"/>
        <v/>
      </c>
      <c r="K1014" s="1480" t="str">
        <f t="shared" si="156"/>
        <v/>
      </c>
      <c r="L1014" s="906" t="s">
        <v>1412</v>
      </c>
      <c r="M1014" s="1480">
        <v>997</v>
      </c>
      <c r="N1014" s="1480"/>
      <c r="O1014" s="1477"/>
      <c r="P1014" s="1477"/>
      <c r="Q1014" s="1477"/>
      <c r="R1014" s="1480" t="s">
        <v>483</v>
      </c>
      <c r="S1014" s="1477"/>
      <c r="T1014" s="1477"/>
      <c r="U1014" s="1477"/>
      <c r="V1014" s="1477"/>
      <c r="W1014" s="1477"/>
      <c r="X1014" s="1477"/>
      <c r="Y1014" s="1477"/>
      <c r="Z1014" s="1477"/>
    </row>
    <row r="1015" spans="1:26"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80" t="s">
        <v>1510</v>
      </c>
      <c r="G1015" s="1480" t="str">
        <f>IF(T1015&lt;&gt;"","A","")</f>
        <v/>
      </c>
      <c r="H1015" s="1480" t="s">
        <v>2063</v>
      </c>
      <c r="I1015" s="1427" t="str">
        <f t="shared" si="155"/>
        <v/>
      </c>
      <c r="J1015" s="1480"/>
      <c r="K1015" s="1480" t="str">
        <f t="shared" si="156"/>
        <v/>
      </c>
      <c r="L1015" s="906" t="s">
        <v>1510</v>
      </c>
      <c r="M1015" s="1480">
        <v>998</v>
      </c>
      <c r="N1015" s="1480"/>
      <c r="O1015" s="1477" t="s">
        <v>728</v>
      </c>
      <c r="P1015" s="1477"/>
      <c r="Q1015" s="1477"/>
      <c r="R1015" s="1480" t="s">
        <v>483</v>
      </c>
      <c r="S1015" s="1477"/>
      <c r="T1015" s="1480" t="str">
        <f>IF(Q$1016="Yes",24,"")</f>
        <v/>
      </c>
      <c r="U1015" s="1477"/>
      <c r="V1015" s="1477"/>
      <c r="W1015" s="1477"/>
      <c r="X1015" s="1477"/>
      <c r="Y1015" s="1477"/>
      <c r="Z1015" s="1477"/>
    </row>
    <row r="1016" spans="1:26"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80"/>
      <c r="G1016" s="1480"/>
      <c r="H1016" s="1480"/>
      <c r="I1016" s="1427" t="str">
        <f t="shared" si="155"/>
        <v/>
      </c>
      <c r="J1016" s="1480" t="str">
        <f t="shared" ref="J1016:J1025" si="167">IF(M1016&lt;&gt;"",IF($Q$1016="Yes",Q$1&amp;M1016,""))</f>
        <v/>
      </c>
      <c r="K1016" s="1480" t="str">
        <f t="shared" si="156"/>
        <v/>
      </c>
      <c r="L1016" s="906" t="s">
        <v>1724</v>
      </c>
      <c r="M1016" s="1480">
        <v>999</v>
      </c>
      <c r="N1016" s="1480"/>
      <c r="O1016" s="1477">
        <f>'Configurable Tab'!H26</f>
        <v>337</v>
      </c>
      <c r="P1016" s="1477"/>
      <c r="Q1016" s="1477" t="s">
        <v>651</v>
      </c>
      <c r="R1016" s="1480" t="s">
        <v>483</v>
      </c>
      <c r="S1016" s="1477"/>
      <c r="T1016" s="1480" t="str">
        <f t="shared" ref="T1016:T1022" si="168">IF(Q$1016="Yes",24,"")</f>
        <v/>
      </c>
      <c r="U1016" s="1477"/>
      <c r="V1016" s="1477"/>
      <c r="W1016" s="1477"/>
      <c r="X1016" s="1477"/>
      <c r="Y1016" s="1477"/>
      <c r="Z1016" s="1477"/>
    </row>
    <row r="1017" spans="1:26"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80" t="s">
        <v>1399</v>
      </c>
      <c r="G1017" s="1480" t="str">
        <f>IF(T1017&lt;&gt;"","B","")</f>
        <v/>
      </c>
      <c r="H1017" s="1480" t="s">
        <v>2063</v>
      </c>
      <c r="I1017" s="1427" t="str">
        <f t="shared" si="155"/>
        <v/>
      </c>
      <c r="J1017" s="1480"/>
      <c r="K1017" s="1480" t="str">
        <f t="shared" si="156"/>
        <v/>
      </c>
      <c r="L1017" s="906" t="s">
        <v>1399</v>
      </c>
      <c r="M1017" s="1480">
        <v>1000</v>
      </c>
      <c r="N1017" s="1480"/>
      <c r="O1017" s="1477" t="s">
        <v>729</v>
      </c>
      <c r="P1017" s="1477"/>
      <c r="Q1017" s="1477"/>
      <c r="R1017" s="1480" t="s">
        <v>483</v>
      </c>
      <c r="S1017" s="1477"/>
      <c r="T1017" s="1480" t="str">
        <f t="shared" si="168"/>
        <v/>
      </c>
      <c r="U1017" s="1477"/>
      <c r="V1017" s="1477"/>
      <c r="W1017" s="1477"/>
      <c r="X1017" s="1477"/>
      <c r="Y1017" s="1477"/>
      <c r="Z1017" s="1477"/>
    </row>
    <row r="1018" spans="1:26"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80" t="s">
        <v>2065</v>
      </c>
      <c r="G1018" s="1480" t="str">
        <f>IF(T1018&lt;&gt;"","I","")</f>
        <v/>
      </c>
      <c r="H1018" s="1480" t="s">
        <v>2063</v>
      </c>
      <c r="I1018" s="1427" t="str">
        <f t="shared" si="155"/>
        <v/>
      </c>
      <c r="J1018" s="1480" t="str">
        <f t="shared" si="167"/>
        <v/>
      </c>
      <c r="K1018" s="1480" t="str">
        <f t="shared" si="156"/>
        <v/>
      </c>
      <c r="L1018" s="906" t="s">
        <v>1397</v>
      </c>
      <c r="M1018" s="1480">
        <v>1001</v>
      </c>
      <c r="N1018" s="1480"/>
      <c r="O1018" s="1477">
        <f>'Configurable Tab'!I26</f>
        <v>350</v>
      </c>
      <c r="P1018" s="1477"/>
      <c r="Q1018" s="1477"/>
      <c r="R1018" s="1480" t="s">
        <v>483</v>
      </c>
      <c r="S1018" s="1477"/>
      <c r="T1018" s="1480" t="str">
        <f t="shared" si="168"/>
        <v/>
      </c>
      <c r="U1018" s="1477"/>
      <c r="V1018" s="1477"/>
      <c r="W1018" s="1477"/>
      <c r="X1018" s="1477"/>
      <c r="Y1018" s="1477"/>
      <c r="Z1018" s="1477"/>
    </row>
    <row r="1019" spans="1:26"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80" t="s">
        <v>2066</v>
      </c>
      <c r="G1019" s="1480" t="str">
        <f>IF(T1019&lt;&gt;"","H","")</f>
        <v/>
      </c>
      <c r="H1019" s="1480" t="s">
        <v>2063</v>
      </c>
      <c r="I1019" s="1427" t="str">
        <f t="shared" si="155"/>
        <v/>
      </c>
      <c r="J1019" s="1480" t="str">
        <f t="shared" si="167"/>
        <v/>
      </c>
      <c r="K1019" s="1480" t="str">
        <f t="shared" si="156"/>
        <v/>
      </c>
      <c r="L1019" s="906" t="s">
        <v>1413</v>
      </c>
      <c r="M1019" s="1480">
        <v>1002</v>
      </c>
      <c r="N1019" s="1480"/>
      <c r="O1019" s="1477" t="s">
        <v>1670</v>
      </c>
      <c r="P1019" s="1477"/>
      <c r="Q1019" s="1477"/>
      <c r="R1019" s="1480" t="s">
        <v>483</v>
      </c>
      <c r="S1019" s="1477"/>
      <c r="T1019" s="1480" t="str">
        <f t="shared" si="168"/>
        <v/>
      </c>
      <c r="U1019" s="1477"/>
      <c r="V1019" s="1477"/>
      <c r="W1019" s="1477"/>
      <c r="X1019" s="1477"/>
      <c r="Y1019" s="1477"/>
      <c r="Z1019" s="1477"/>
    </row>
    <row r="1020" spans="1:26"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80" t="s">
        <v>1398</v>
      </c>
      <c r="G1020" s="1480" t="str">
        <f>IF(T1020&lt;&gt;"",IF(Q1018="Credit Memo","J",IF(Q1018="Check","K","")),"")</f>
        <v/>
      </c>
      <c r="H1020" s="1480" t="s">
        <v>2063</v>
      </c>
      <c r="I1020" s="1427" t="str">
        <f t="shared" si="155"/>
        <v/>
      </c>
      <c r="J1020" s="1480" t="str">
        <f t="shared" si="167"/>
        <v/>
      </c>
      <c r="K1020" s="1480" t="str">
        <f t="shared" si="156"/>
        <v/>
      </c>
      <c r="L1020" s="906" t="s">
        <v>1398</v>
      </c>
      <c r="M1020" s="1480">
        <v>1003</v>
      </c>
      <c r="N1020" s="1480"/>
      <c r="O1020" s="1477"/>
      <c r="P1020" s="1477"/>
      <c r="Q1020" s="1477"/>
      <c r="R1020" s="1480" t="s">
        <v>483</v>
      </c>
      <c r="S1020" s="1477"/>
      <c r="T1020" s="1480" t="str">
        <f t="shared" si="168"/>
        <v/>
      </c>
      <c r="U1020" s="1477"/>
      <c r="V1020" s="1477"/>
      <c r="W1020" s="1477"/>
      <c r="X1020" s="1477"/>
      <c r="Y1020" s="1477"/>
      <c r="Z1020" s="1477"/>
    </row>
    <row r="1021" spans="1:26"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80" t="s">
        <v>1401</v>
      </c>
      <c r="G1021" s="1480" t="str">
        <f>IF(T1021&lt;&gt;"","C","")</f>
        <v/>
      </c>
      <c r="H1021" s="1480" t="s">
        <v>2063</v>
      </c>
      <c r="I1021" s="1427" t="str">
        <f t="shared" si="155"/>
        <v/>
      </c>
      <c r="J1021" s="1480"/>
      <c r="K1021" s="1480" t="str">
        <f t="shared" si="156"/>
        <v/>
      </c>
      <c r="L1021" s="906" t="s">
        <v>1401</v>
      </c>
      <c r="M1021" s="1480">
        <v>1004</v>
      </c>
      <c r="N1021" s="1480"/>
      <c r="O1021" s="1477"/>
      <c r="P1021" s="1477"/>
      <c r="Q1021" s="1477"/>
      <c r="R1021" s="1480" t="s">
        <v>483</v>
      </c>
      <c r="S1021" s="1477"/>
      <c r="T1021" s="1480" t="str">
        <f t="shared" si="168"/>
        <v/>
      </c>
      <c r="U1021" s="1477"/>
      <c r="V1021" s="1477"/>
      <c r="W1021" s="1477"/>
      <c r="X1021" s="1477"/>
      <c r="Y1021" s="1477"/>
      <c r="Z1021" s="1477"/>
    </row>
    <row r="1022" spans="1:26"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80" t="s">
        <v>1402</v>
      </c>
      <c r="G1022" s="1480" t="str">
        <f>IF(T1022&lt;&gt;"","D","")</f>
        <v/>
      </c>
      <c r="H1022" s="1480" t="s">
        <v>2063</v>
      </c>
      <c r="I1022" s="1427" t="str">
        <f t="shared" si="155"/>
        <v/>
      </c>
      <c r="J1022" s="1480"/>
      <c r="K1022" s="1480" t="str">
        <f t="shared" si="156"/>
        <v/>
      </c>
      <c r="L1022" s="906" t="s">
        <v>1402</v>
      </c>
      <c r="M1022" s="1480">
        <v>1005</v>
      </c>
      <c r="N1022" s="1480"/>
      <c r="O1022" s="1477"/>
      <c r="P1022" s="1477"/>
      <c r="Q1022" s="1477"/>
      <c r="R1022" s="1480" t="s">
        <v>483</v>
      </c>
      <c r="S1022" s="1477"/>
      <c r="T1022" s="1480" t="str">
        <f t="shared" si="168"/>
        <v/>
      </c>
      <c r="U1022" s="1477"/>
      <c r="V1022" s="1477"/>
      <c r="W1022" s="1477"/>
      <c r="X1022" s="1477"/>
      <c r="Y1022" s="1477"/>
      <c r="Z1022" s="1477"/>
    </row>
    <row r="1023" spans="1:26"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80" t="s">
        <v>1514</v>
      </c>
      <c r="G1023" s="1480" t="str">
        <f>IF(T1023&lt;&gt;"","AN","")</f>
        <v/>
      </c>
      <c r="H1023" s="1480" t="s">
        <v>2063</v>
      </c>
      <c r="I1023" s="1427" t="str">
        <f t="shared" si="155"/>
        <v/>
      </c>
      <c r="J1023" s="1480" t="str">
        <f t="shared" si="167"/>
        <v/>
      </c>
      <c r="K1023" s="1480" t="str">
        <f t="shared" si="156"/>
        <v/>
      </c>
      <c r="L1023" s="906" t="s">
        <v>1514</v>
      </c>
      <c r="M1023" s="1480">
        <v>1006</v>
      </c>
      <c r="N1023" s="1480"/>
      <c r="O1023" s="1477"/>
      <c r="P1023" s="1484" t="str" cm="1">
        <f t="array" aca="1" ref="P1023" ca="1">_xlfn.CONCAT("F",RIGHT(B1023, LEN(B1023) - MAX(IF(ISNUMBER(MID(B1023, ROW(INDIRECT("1:"&amp;LEN(B1023))), 1) *1)=FALSE, ROW(INDIRECT("1:"&amp;LEN(B1023))), 0))))</f>
        <v>F347</v>
      </c>
      <c r="Q1023" s="1480" t="str" cm="1">
        <f t="array" aca="1" ref="Q1023" ca="1">_xlfn.CONCAT("E",RIGHT(C1023, LEN(C1023) - MAX(IF(ISNUMBER(MID(C1023, ROW(INDIRECT("1:"&amp;LEN(C1023))), 1) *1)=FALSE, ROW(INDIRECT("1:"&amp;LEN(C1023))), 0))))</f>
        <v>E347</v>
      </c>
      <c r="R1023" s="1480" t="s">
        <v>483</v>
      </c>
      <c r="S1023" s="1477"/>
      <c r="T1023" s="1480" t="str">
        <f>IF(Q$1016="Yes",24,"")</f>
        <v/>
      </c>
      <c r="U1023" s="1477"/>
      <c r="V1023" s="1477"/>
      <c r="W1023" s="1477"/>
      <c r="X1023" s="1477"/>
      <c r="Y1023" s="1477"/>
      <c r="Z1023" s="1477"/>
    </row>
    <row r="1024" spans="1:26"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80" t="s">
        <v>1511</v>
      </c>
      <c r="G1024" s="1480" t="str">
        <f>IF(T1024&lt;&gt;"","AL","")</f>
        <v/>
      </c>
      <c r="H1024" s="1480" t="s">
        <v>2063</v>
      </c>
      <c r="I1024" s="1427" t="str">
        <f t="shared" si="155"/>
        <v/>
      </c>
      <c r="J1024" s="1480" t="str">
        <f t="shared" si="167"/>
        <v/>
      </c>
      <c r="K1024" s="1480" t="str">
        <f t="shared" si="156"/>
        <v/>
      </c>
      <c r="L1024" s="906" t="s">
        <v>1511</v>
      </c>
      <c r="M1024" s="1480">
        <v>1007</v>
      </c>
      <c r="N1024" s="1480"/>
      <c r="O1024" s="1477"/>
      <c r="P1024" s="1477"/>
      <c r="Q1024" s="1477"/>
      <c r="R1024" s="1480" t="s">
        <v>483</v>
      </c>
      <c r="S1024" s="1477"/>
      <c r="T1024" s="1480" t="str">
        <f>IF(Q$1016="Yes",24,"")</f>
        <v/>
      </c>
      <c r="U1024" s="1477"/>
      <c r="V1024" s="1477"/>
      <c r="W1024" s="1477"/>
      <c r="X1024" s="1477"/>
      <c r="Y1024" s="1477"/>
      <c r="Z1024" s="1477"/>
    </row>
    <row r="1025" spans="1:26"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80"/>
      <c r="G1025" s="1480"/>
      <c r="H1025" s="1480"/>
      <c r="I1025" s="1427" t="str">
        <f t="shared" si="155"/>
        <v/>
      </c>
      <c r="J1025" s="1480" t="str">
        <f t="shared" si="167"/>
        <v/>
      </c>
      <c r="K1025" s="1480" t="str">
        <f t="shared" si="156"/>
        <v/>
      </c>
      <c r="L1025" s="906" t="s">
        <v>1412</v>
      </c>
      <c r="M1025" s="1480">
        <v>1008</v>
      </c>
      <c r="N1025" s="1480"/>
      <c r="O1025" s="1477"/>
      <c r="P1025" s="1477"/>
      <c r="Q1025" s="1477"/>
      <c r="R1025" s="1480" t="s">
        <v>483</v>
      </c>
      <c r="S1025" s="1477"/>
      <c r="T1025" s="1477"/>
      <c r="U1025" s="1477"/>
      <c r="V1025" s="1477"/>
      <c r="W1025" s="1477"/>
      <c r="X1025" s="1477"/>
      <c r="Y1025" s="1477"/>
      <c r="Z1025" s="1477"/>
    </row>
    <row r="1026" spans="1:26"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80" t="s">
        <v>1510</v>
      </c>
      <c r="G1026" s="1480" t="str">
        <f>IF(T1026&lt;&gt;"","A","")</f>
        <v>A</v>
      </c>
      <c r="H1026" s="1480" t="s">
        <v>2063</v>
      </c>
      <c r="I1026" s="1427" t="str">
        <f t="shared" si="155"/>
        <v/>
      </c>
      <c r="J1026" s="1480"/>
      <c r="K1026" s="1480" t="str">
        <f t="shared" si="156"/>
        <v/>
      </c>
      <c r="L1026" s="906" t="s">
        <v>1510</v>
      </c>
      <c r="M1026" s="1480">
        <v>1009</v>
      </c>
      <c r="N1026" s="1480"/>
      <c r="O1026" s="1477" t="s">
        <v>728</v>
      </c>
      <c r="P1026" s="1477"/>
      <c r="Q1026" s="1477"/>
      <c r="R1026" s="1480" t="s">
        <v>483</v>
      </c>
      <c r="S1026" s="1477"/>
      <c r="T1026" s="1480">
        <f>IF(Q$1027="Yes",25,"")</f>
        <v>25</v>
      </c>
      <c r="U1026" s="1477"/>
      <c r="V1026" s="1477"/>
      <c r="W1026" s="1477"/>
      <c r="X1026" s="1477"/>
      <c r="Y1026" s="1477"/>
      <c r="Z1026" s="1477"/>
    </row>
    <row r="1027" spans="1:26"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80"/>
      <c r="G1027" s="1480"/>
      <c r="H1027" s="1480"/>
      <c r="I1027" s="1427" t="str">
        <f t="shared" si="155"/>
        <v/>
      </c>
      <c r="J1027" s="1480" t="str">
        <f t="shared" ref="J1027:J1036" si="169">IF(M1027&lt;&gt;"",IF($Q$1026="Yes",Q$1&amp;M1027,""))</f>
        <v/>
      </c>
      <c r="K1027" s="1480" t="str">
        <f t="shared" si="156"/>
        <v/>
      </c>
      <c r="L1027" s="906" t="s">
        <v>1724</v>
      </c>
      <c r="M1027" s="1480">
        <v>1010</v>
      </c>
      <c r="N1027" s="1480"/>
      <c r="O1027" s="1477">
        <f>'Configurable Tab'!H27</f>
        <v>351</v>
      </c>
      <c r="P1027" s="1477"/>
      <c r="Q1027" s="1477" t="s">
        <v>649</v>
      </c>
      <c r="R1027" s="1480" t="s">
        <v>483</v>
      </c>
      <c r="S1027" s="1477"/>
      <c r="T1027" s="1480">
        <f t="shared" ref="T1027:T1033" si="170">IF(Q$1027="Yes",25,"")</f>
        <v>25</v>
      </c>
      <c r="U1027" s="1477"/>
      <c r="V1027" s="1477"/>
      <c r="W1027" s="1477"/>
      <c r="X1027" s="1477"/>
      <c r="Y1027" s="1477"/>
      <c r="Z1027" s="1477"/>
    </row>
    <row r="1028" spans="1:26"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80" t="s">
        <v>1399</v>
      </c>
      <c r="G1028" s="1480" t="str">
        <f>IF(T1028&lt;&gt;"","B","")</f>
        <v>B</v>
      </c>
      <c r="H1028" s="1480" t="s">
        <v>2063</v>
      </c>
      <c r="I1028" s="1427" t="str">
        <f t="shared" ref="I1028:I1091" si="171">IF(J1028&lt;&gt;"",A1028,"")</f>
        <v/>
      </c>
      <c r="J1028" s="1480"/>
      <c r="K1028" s="1480" t="str">
        <f t="shared" ref="K1028:K1091" si="172">IF(J1028&lt;&gt;"",E1028,"")</f>
        <v/>
      </c>
      <c r="L1028" s="906" t="s">
        <v>1399</v>
      </c>
      <c r="M1028" s="1480">
        <v>1011</v>
      </c>
      <c r="N1028" s="1480"/>
      <c r="O1028" s="1477" t="s">
        <v>729</v>
      </c>
      <c r="P1028" s="1477"/>
      <c r="Q1028" s="1477"/>
      <c r="R1028" s="1480" t="s">
        <v>483</v>
      </c>
      <c r="S1028" s="1477"/>
      <c r="T1028" s="1480">
        <f t="shared" si="170"/>
        <v>25</v>
      </c>
      <c r="U1028" s="1477"/>
      <c r="V1028" s="1477"/>
      <c r="W1028" s="1477"/>
      <c r="X1028" s="1477"/>
      <c r="Y1028" s="1477"/>
      <c r="Z1028" s="1477"/>
    </row>
    <row r="1029" spans="1:26"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80" t="s">
        <v>2065</v>
      </c>
      <c r="G1029" s="1480" t="str">
        <f>IF(T1029&lt;&gt;"","I","")</f>
        <v>I</v>
      </c>
      <c r="H1029" s="1480" t="s">
        <v>2063</v>
      </c>
      <c r="I1029" s="1427" t="str">
        <f t="shared" si="171"/>
        <v/>
      </c>
      <c r="J1029" s="1480" t="str">
        <f t="shared" si="169"/>
        <v/>
      </c>
      <c r="K1029" s="1480" t="str">
        <f t="shared" si="172"/>
        <v/>
      </c>
      <c r="L1029" s="906" t="s">
        <v>1397</v>
      </c>
      <c r="M1029" s="1480">
        <v>1012</v>
      </c>
      <c r="N1029" s="1480"/>
      <c r="O1029" s="1477">
        <f>'Configurable Tab'!I27</f>
        <v>364</v>
      </c>
      <c r="P1029" s="1477"/>
      <c r="Q1029" s="1477" t="s">
        <v>484</v>
      </c>
      <c r="R1029" s="1480" t="s">
        <v>483</v>
      </c>
      <c r="S1029" s="1477"/>
      <c r="T1029" s="1480">
        <f t="shared" si="170"/>
        <v>25</v>
      </c>
      <c r="U1029" s="1477"/>
      <c r="V1029" s="1477"/>
      <c r="W1029" s="1477"/>
      <c r="X1029" s="1477"/>
      <c r="Y1029" s="1477"/>
      <c r="Z1029" s="1477"/>
    </row>
    <row r="1030" spans="1:26"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80" t="s">
        <v>2066</v>
      </c>
      <c r="G1030" s="1480" t="str">
        <f>IF(T1030&lt;&gt;"","H","")</f>
        <v>H</v>
      </c>
      <c r="H1030" s="1480" t="s">
        <v>2063</v>
      </c>
      <c r="I1030" s="1427" t="str">
        <f t="shared" si="171"/>
        <v/>
      </c>
      <c r="J1030" s="1480" t="str">
        <f t="shared" si="169"/>
        <v/>
      </c>
      <c r="K1030" s="1480" t="str">
        <f t="shared" si="172"/>
        <v/>
      </c>
      <c r="L1030" s="906" t="s">
        <v>1413</v>
      </c>
      <c r="M1030" s="1480">
        <v>1013</v>
      </c>
      <c r="N1030" s="1480"/>
      <c r="O1030" s="1477" t="s">
        <v>1671</v>
      </c>
      <c r="P1030" s="1477"/>
      <c r="Q1030" s="1477"/>
      <c r="R1030" s="1480" t="s">
        <v>483</v>
      </c>
      <c r="S1030" s="1477"/>
      <c r="T1030" s="1480">
        <f t="shared" si="170"/>
        <v>25</v>
      </c>
      <c r="U1030" s="1477"/>
      <c r="V1030" s="1477"/>
      <c r="W1030" s="1477"/>
      <c r="X1030" s="1477"/>
      <c r="Y1030" s="1477"/>
      <c r="Z1030" s="1477"/>
    </row>
    <row r="1031" spans="1:26"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80" t="s">
        <v>1398</v>
      </c>
      <c r="G1031" s="1480" t="str">
        <f>IF(T1031&lt;&gt;"",IF(Q1029="Credit Memo","J",IF(Q1029="Check","K","")),"")</f>
        <v>J</v>
      </c>
      <c r="H1031" s="1480" t="s">
        <v>2063</v>
      </c>
      <c r="I1031" s="1427" t="str">
        <f t="shared" si="171"/>
        <v/>
      </c>
      <c r="J1031" s="1480" t="str">
        <f t="shared" si="169"/>
        <v/>
      </c>
      <c r="K1031" s="1480" t="str">
        <f t="shared" si="172"/>
        <v/>
      </c>
      <c r="L1031" s="906" t="s">
        <v>1398</v>
      </c>
      <c r="M1031" s="1480">
        <v>1014</v>
      </c>
      <c r="N1031" s="1480"/>
      <c r="O1031" s="1477"/>
      <c r="P1031" s="1477"/>
      <c r="Q1031" s="1477"/>
      <c r="R1031" s="1480" t="s">
        <v>483</v>
      </c>
      <c r="S1031" s="1477"/>
      <c r="T1031" s="1480">
        <f t="shared" si="170"/>
        <v>25</v>
      </c>
      <c r="U1031" s="1477"/>
      <c r="V1031" s="1477"/>
      <c r="W1031" s="1477"/>
      <c r="X1031" s="1477"/>
      <c r="Y1031" s="1477"/>
      <c r="Z1031" s="1477"/>
    </row>
    <row r="1032" spans="1:26"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80" t="s">
        <v>1401</v>
      </c>
      <c r="G1032" s="1480" t="str">
        <f>IF(T1032&lt;&gt;"","C","")</f>
        <v>C</v>
      </c>
      <c r="H1032" s="1480" t="s">
        <v>2063</v>
      </c>
      <c r="I1032" s="1427" t="str">
        <f t="shared" si="171"/>
        <v/>
      </c>
      <c r="J1032" s="1480"/>
      <c r="K1032" s="1480" t="str">
        <f t="shared" si="172"/>
        <v/>
      </c>
      <c r="L1032" s="906" t="s">
        <v>1401</v>
      </c>
      <c r="M1032" s="1480">
        <v>1015</v>
      </c>
      <c r="N1032" s="1480"/>
      <c r="O1032" s="1477"/>
      <c r="P1032" s="1477"/>
      <c r="Q1032" s="1477"/>
      <c r="R1032" s="1480" t="s">
        <v>483</v>
      </c>
      <c r="S1032" s="1477"/>
      <c r="T1032" s="1480">
        <f t="shared" si="170"/>
        <v>25</v>
      </c>
      <c r="U1032" s="1477"/>
      <c r="V1032" s="1477"/>
      <c r="W1032" s="1477"/>
      <c r="X1032" s="1477"/>
      <c r="Y1032" s="1477"/>
      <c r="Z1032" s="1477"/>
    </row>
    <row r="1033" spans="1:26"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80" t="s">
        <v>1402</v>
      </c>
      <c r="G1033" s="1480" t="str">
        <f>IF(T1033&lt;&gt;"","D","")</f>
        <v>D</v>
      </c>
      <c r="H1033" s="1480" t="s">
        <v>2063</v>
      </c>
      <c r="I1033" s="1427" t="str">
        <f t="shared" si="171"/>
        <v/>
      </c>
      <c r="J1033" s="1480"/>
      <c r="K1033" s="1480" t="str">
        <f t="shared" si="172"/>
        <v/>
      </c>
      <c r="L1033" s="906" t="s">
        <v>1402</v>
      </c>
      <c r="M1033" s="1480">
        <v>1016</v>
      </c>
      <c r="N1033" s="1480"/>
      <c r="O1033" s="1477"/>
      <c r="P1033" s="1477"/>
      <c r="Q1033" s="1477"/>
      <c r="R1033" s="1480" t="s">
        <v>483</v>
      </c>
      <c r="S1033" s="1477"/>
      <c r="T1033" s="1480">
        <f t="shared" si="170"/>
        <v>25</v>
      </c>
      <c r="U1033" s="1477"/>
      <c r="V1033" s="1477"/>
      <c r="W1033" s="1477"/>
      <c r="X1033" s="1477"/>
      <c r="Y1033" s="1477"/>
      <c r="Z1033" s="1477"/>
    </row>
    <row r="1034" spans="1:26"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80" t="s">
        <v>1514</v>
      </c>
      <c r="G1034" s="1480" t="str">
        <f>IF(T1034&lt;&gt;"","AN","")</f>
        <v>AN</v>
      </c>
      <c r="H1034" s="1480" t="s">
        <v>2063</v>
      </c>
      <c r="I1034" s="1427" t="str">
        <f t="shared" si="171"/>
        <v/>
      </c>
      <c r="J1034" s="1480" t="str">
        <f t="shared" si="169"/>
        <v/>
      </c>
      <c r="K1034" s="1480" t="str">
        <f t="shared" si="172"/>
        <v/>
      </c>
      <c r="L1034" s="906" t="s">
        <v>1514</v>
      </c>
      <c r="M1034" s="1480">
        <v>1017</v>
      </c>
      <c r="N1034" s="1480"/>
      <c r="O1034" s="1477"/>
      <c r="P1034" s="1484" t="str" cm="1">
        <f t="array" aca="1" ref="P1034" ca="1">_xlfn.CONCAT("F",RIGHT(B1034, LEN(B1034) - MAX(IF(ISNUMBER(MID(B1034, ROW(INDIRECT("1:"&amp;LEN(B1034))), 1) *1)=FALSE, ROW(INDIRECT("1:"&amp;LEN(B1034))), 0))))</f>
        <v>F361</v>
      </c>
      <c r="Q1034" s="1480" t="str" cm="1">
        <f t="array" aca="1" ref="Q1034" ca="1">_xlfn.CONCAT("E",RIGHT(C1034, LEN(C1034) - MAX(IF(ISNUMBER(MID(C1034, ROW(INDIRECT("1:"&amp;LEN(C1034))), 1) *1)=FALSE, ROW(INDIRECT("1:"&amp;LEN(C1034))), 0))))</f>
        <v>E361</v>
      </c>
      <c r="R1034" s="1480" t="s">
        <v>483</v>
      </c>
      <c r="S1034" s="1477"/>
      <c r="T1034" s="1480">
        <f>IF(Q$1027="Yes",25,"")</f>
        <v>25</v>
      </c>
      <c r="U1034" s="1477"/>
      <c r="V1034" s="1477"/>
      <c r="W1034" s="1477"/>
      <c r="X1034" s="1477"/>
      <c r="Y1034" s="1477"/>
      <c r="Z1034" s="1477"/>
    </row>
    <row r="1035" spans="1:26"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80" t="s">
        <v>1511</v>
      </c>
      <c r="G1035" s="1480" t="str">
        <f>IF(T1035&lt;&gt;"","AL","")</f>
        <v>AL</v>
      </c>
      <c r="H1035" s="1480" t="s">
        <v>2063</v>
      </c>
      <c r="I1035" s="1427" t="str">
        <f t="shared" si="171"/>
        <v/>
      </c>
      <c r="J1035" s="1480" t="str">
        <f t="shared" si="169"/>
        <v/>
      </c>
      <c r="K1035" s="1480" t="str">
        <f t="shared" si="172"/>
        <v/>
      </c>
      <c r="L1035" s="906" t="s">
        <v>1511</v>
      </c>
      <c r="M1035" s="1480">
        <v>1018</v>
      </c>
      <c r="N1035" s="1480"/>
      <c r="O1035" s="1477"/>
      <c r="P1035" s="1477"/>
      <c r="Q1035" s="1477"/>
      <c r="R1035" s="1480" t="s">
        <v>483</v>
      </c>
      <c r="S1035" s="1477"/>
      <c r="T1035" s="1480">
        <f>IF(Q$1027="Yes",25,"")</f>
        <v>25</v>
      </c>
      <c r="U1035" s="1477"/>
      <c r="V1035" s="1477"/>
      <c r="W1035" s="1477"/>
      <c r="X1035" s="1477"/>
      <c r="Y1035" s="1477"/>
      <c r="Z1035" s="1477"/>
    </row>
    <row r="1036" spans="1:26"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80"/>
      <c r="G1036" s="1480"/>
      <c r="H1036" s="1480"/>
      <c r="I1036" s="1427" t="str">
        <f t="shared" si="171"/>
        <v/>
      </c>
      <c r="J1036" s="1480" t="str">
        <f t="shared" si="169"/>
        <v/>
      </c>
      <c r="K1036" s="1480" t="str">
        <f t="shared" si="172"/>
        <v/>
      </c>
      <c r="L1036" s="906" t="s">
        <v>1412</v>
      </c>
      <c r="M1036" s="1480">
        <v>1019</v>
      </c>
      <c r="N1036" s="1480"/>
      <c r="O1036" s="1477"/>
      <c r="P1036" s="1477"/>
      <c r="Q1036" s="1477"/>
      <c r="R1036" s="1480" t="s">
        <v>483</v>
      </c>
      <c r="S1036" s="1477"/>
      <c r="T1036" s="1477"/>
      <c r="U1036" s="1477"/>
      <c r="V1036" s="1477"/>
      <c r="W1036" s="1477"/>
      <c r="X1036" s="1477"/>
      <c r="Y1036" s="1477"/>
      <c r="Z1036" s="1477"/>
    </row>
    <row r="1037" spans="1:26"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80" t="s">
        <v>1510</v>
      </c>
      <c r="G1037" s="1480" t="str">
        <f>IF(T1037&lt;&gt;"","A","")</f>
        <v>A</v>
      </c>
      <c r="H1037" s="1480" t="s">
        <v>2063</v>
      </c>
      <c r="I1037" s="1427" t="str">
        <f t="shared" si="171"/>
        <v/>
      </c>
      <c r="J1037" s="1480"/>
      <c r="K1037" s="1480" t="str">
        <f t="shared" si="172"/>
        <v/>
      </c>
      <c r="L1037" s="906" t="s">
        <v>1510</v>
      </c>
      <c r="M1037" s="1480">
        <v>1020</v>
      </c>
      <c r="N1037" s="1480"/>
      <c r="O1037" s="1477" t="s">
        <v>728</v>
      </c>
      <c r="P1037" s="1477"/>
      <c r="Q1037" s="1477"/>
      <c r="R1037" s="1480" t="s">
        <v>1144</v>
      </c>
      <c r="S1037" s="1477"/>
      <c r="T1037" s="1480">
        <f>IF(Q$1038="Yes",26,"")</f>
        <v>26</v>
      </c>
      <c r="U1037" s="1477"/>
      <c r="V1037" s="1477"/>
      <c r="W1037" s="1477"/>
      <c r="X1037" s="1477"/>
      <c r="Y1037" s="1477"/>
      <c r="Z1037" s="1477"/>
    </row>
    <row r="1038" spans="1:26"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80"/>
      <c r="G1038" s="1480"/>
      <c r="H1038" s="1480"/>
      <c r="I1038" s="1427" t="str">
        <f t="shared" si="171"/>
        <v>Offer This Incentive?</v>
      </c>
      <c r="J1038" s="1480" t="str">
        <f t="shared" ref="J1038:J1049" si="173">IF(M1038&lt;&gt;"",IF($Q$1038="Yes",Q$1&amp;M1038,""))</f>
        <v>F1021</v>
      </c>
      <c r="K1038" s="1480" t="str">
        <f t="shared" si="172"/>
        <v>Incentives Worksheet</v>
      </c>
      <c r="L1038" s="906" t="s">
        <v>1724</v>
      </c>
      <c r="M1038" s="1480">
        <v>1021</v>
      </c>
      <c r="N1038" s="1480"/>
      <c r="O1038" s="1477">
        <f>'Configurable Tab'!H28</f>
        <v>365</v>
      </c>
      <c r="P1038" s="1477"/>
      <c r="Q1038" s="1477" t="s">
        <v>649</v>
      </c>
      <c r="R1038" s="1480" t="s">
        <v>1144</v>
      </c>
      <c r="S1038" s="1477"/>
      <c r="T1038" s="1480">
        <f t="shared" ref="T1038:T1044" si="174">IF(Q$1038="Yes",26,"")</f>
        <v>26</v>
      </c>
      <c r="U1038" s="1477"/>
      <c r="V1038" s="1477"/>
      <c r="W1038" s="1477"/>
      <c r="X1038" s="1477"/>
      <c r="Y1038" s="1477"/>
      <c r="Z1038" s="1477"/>
    </row>
    <row r="1039" spans="1:26"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80" t="s">
        <v>1399</v>
      </c>
      <c r="G1039" s="1480" t="str">
        <f>IF(T1039&lt;&gt;"","B","")</f>
        <v>B</v>
      </c>
      <c r="H1039" s="1480" t="s">
        <v>2063</v>
      </c>
      <c r="I1039" s="1427" t="str">
        <f t="shared" si="171"/>
        <v/>
      </c>
      <c r="J1039" s="1480"/>
      <c r="K1039" s="1480" t="str">
        <f t="shared" si="172"/>
        <v/>
      </c>
      <c r="L1039" s="906" t="s">
        <v>1399</v>
      </c>
      <c r="M1039" s="1480">
        <v>1022</v>
      </c>
      <c r="N1039" s="1480"/>
      <c r="O1039" s="1477" t="s">
        <v>729</v>
      </c>
      <c r="P1039" s="1477"/>
      <c r="Q1039" s="1477"/>
      <c r="R1039" s="1480" t="s">
        <v>1144</v>
      </c>
      <c r="S1039" s="1477"/>
      <c r="T1039" s="1480">
        <f t="shared" si="174"/>
        <v>26</v>
      </c>
      <c r="U1039" s="1477"/>
      <c r="V1039" s="1477"/>
      <c r="W1039" s="1477"/>
      <c r="X1039" s="1477"/>
      <c r="Y1039" s="1477"/>
      <c r="Z1039" s="1477"/>
    </row>
    <row r="1040" spans="1:26" x14ac:dyDescent="0.25">
      <c r="A1040" s="932" t="s">
        <v>1397</v>
      </c>
      <c r="B1040" s="906" t="str">
        <f t="shared" ref="B1040:B1045" ca="1" si="175">_xlfn.CONCAT(IFERROR(SUBSTITUTE(ADDRESS(1,MATCH(A1040,INDIRECT("'"&amp;E1040&amp;"'"&amp;"!A" &amp; $O$1038 + 2 &amp; ":Z" &amp; $O$1038 + 2),0),4),1,""),""),$O$1038+ 2)</f>
        <v>J367</v>
      </c>
      <c r="C1040" s="906" t="str">
        <f t="shared" ref="C1040:C1045" ca="1" si="176">_xlfn.CONCAT(IFERROR(SUBSTITUTE(ADDRESS(1,MATCH(A1040,INDIRECT("'"&amp;E1040&amp;"'"&amp;"!A" &amp; $O$1038 + 2 &amp; ":Z" &amp; $O$1038 + 2),0),4),1,""),""),$O$1038+ 3)</f>
        <v>J368</v>
      </c>
      <c r="D1040" s="906" t="s">
        <v>1365</v>
      </c>
      <c r="E1040" s="906" t="s">
        <v>1535</v>
      </c>
      <c r="F1040" s="1480" t="s">
        <v>2065</v>
      </c>
      <c r="G1040" s="1480" t="str">
        <f>IF(T1040&lt;&gt;"","I","")</f>
        <v>I</v>
      </c>
      <c r="H1040" s="1480" t="s">
        <v>2063</v>
      </c>
      <c r="I1040" s="1427" t="str">
        <f t="shared" si="171"/>
        <v>Payment Method</v>
      </c>
      <c r="J1040" s="1480" t="str">
        <f t="shared" si="173"/>
        <v>F1023</v>
      </c>
      <c r="K1040" s="1480" t="str">
        <f t="shared" si="172"/>
        <v>Incentives Worksheet</v>
      </c>
      <c r="L1040" s="906" t="s">
        <v>1397</v>
      </c>
      <c r="M1040" s="1480">
        <v>1023</v>
      </c>
      <c r="N1040" s="1480"/>
      <c r="O1040" s="1477">
        <f>'Configurable Tab'!I28</f>
        <v>378</v>
      </c>
      <c r="P1040" s="1477"/>
      <c r="Q1040" s="1477" t="s">
        <v>484</v>
      </c>
      <c r="R1040" s="1480" t="s">
        <v>1144</v>
      </c>
      <c r="S1040" s="1477"/>
      <c r="T1040" s="1480">
        <f t="shared" si="174"/>
        <v>26</v>
      </c>
      <c r="U1040" s="1477"/>
      <c r="V1040" s="1477"/>
      <c r="W1040" s="1477"/>
      <c r="X1040" s="1477"/>
      <c r="Y1040" s="1477"/>
      <c r="Z1040" s="1477"/>
    </row>
    <row r="1041" spans="1:26" x14ac:dyDescent="0.25">
      <c r="A1041" s="932" t="s">
        <v>1413</v>
      </c>
      <c r="B1041" s="906" t="str">
        <f t="shared" ca="1" si="175"/>
        <v>L367</v>
      </c>
      <c r="C1041" s="906" t="str">
        <f t="shared" ca="1" si="176"/>
        <v>L368</v>
      </c>
      <c r="D1041" s="906" t="s">
        <v>1365</v>
      </c>
      <c r="E1041" s="906" t="s">
        <v>1535</v>
      </c>
      <c r="F1041" s="1480" t="s">
        <v>2066</v>
      </c>
      <c r="G1041" s="1480" t="str">
        <f>IF(T1041&lt;&gt;"","H","")</f>
        <v>H</v>
      </c>
      <c r="H1041" s="1480" t="s">
        <v>2063</v>
      </c>
      <c r="I1041" s="1427" t="str">
        <f t="shared" si="171"/>
        <v>Paid To</v>
      </c>
      <c r="J1041" s="1480" t="str">
        <f t="shared" si="173"/>
        <v>F1024</v>
      </c>
      <c r="K1041" s="1480" t="str">
        <f t="shared" si="172"/>
        <v>Incentives Worksheet</v>
      </c>
      <c r="L1041" s="906" t="s">
        <v>1413</v>
      </c>
      <c r="M1041" s="1480">
        <v>1024</v>
      </c>
      <c r="N1041" s="1480"/>
      <c r="O1041" s="1477" t="s">
        <v>1672</v>
      </c>
      <c r="P1041" s="1477"/>
      <c r="Q1041" s="1477"/>
      <c r="R1041" s="1480" t="s">
        <v>1144</v>
      </c>
      <c r="S1041" s="1477"/>
      <c r="T1041" s="1480">
        <f t="shared" si="174"/>
        <v>26</v>
      </c>
      <c r="U1041" s="1477"/>
      <c r="V1041" s="1477"/>
      <c r="W1041" s="1477"/>
      <c r="X1041" s="1477"/>
      <c r="Y1041" s="1477"/>
      <c r="Z1041" s="1477"/>
    </row>
    <row r="1042" spans="1:26" x14ac:dyDescent="0.25">
      <c r="A1042" s="932" t="s">
        <v>1398</v>
      </c>
      <c r="B1042" s="906" t="str">
        <f t="shared" ca="1" si="175"/>
        <v>N367</v>
      </c>
      <c r="C1042" s="906" t="str">
        <f t="shared" ca="1" si="176"/>
        <v>N368</v>
      </c>
      <c r="D1042" s="906" t="s">
        <v>1365</v>
      </c>
      <c r="E1042" s="906" t="s">
        <v>1535</v>
      </c>
      <c r="F1042" s="1480" t="s">
        <v>1398</v>
      </c>
      <c r="G1042" s="1480" t="str">
        <f>IF(T1042&lt;&gt;"",IF(Q1040="Credit Memo","J",IF(Q1040="Check","K","")),"")</f>
        <v>J</v>
      </c>
      <c r="H1042" s="1480" t="s">
        <v>2063</v>
      </c>
      <c r="I1042" s="1427" t="str">
        <f t="shared" si="171"/>
        <v>AP/AR Vendor Number</v>
      </c>
      <c r="J1042" s="1480" t="str">
        <f t="shared" si="173"/>
        <v>F1025</v>
      </c>
      <c r="K1042" s="1480" t="str">
        <f t="shared" si="172"/>
        <v>Incentives Worksheet</v>
      </c>
      <c r="L1042" s="906" t="s">
        <v>1398</v>
      </c>
      <c r="M1042" s="1480">
        <v>1025</v>
      </c>
      <c r="N1042" s="1480"/>
      <c r="O1042" s="1477"/>
      <c r="P1042" s="1477"/>
      <c r="Q1042" s="1477"/>
      <c r="R1042" s="1480" t="s">
        <v>1144</v>
      </c>
      <c r="S1042" s="1477"/>
      <c r="T1042" s="1480">
        <f t="shared" si="174"/>
        <v>26</v>
      </c>
      <c r="U1042" s="1477"/>
      <c r="V1042" s="1477"/>
      <c r="W1042" s="1477"/>
      <c r="X1042" s="1477"/>
      <c r="Y1042" s="1477"/>
      <c r="Z1042" s="1477"/>
    </row>
    <row r="1043" spans="1:26" x14ac:dyDescent="0.25">
      <c r="A1043" s="932" t="s">
        <v>1505</v>
      </c>
      <c r="B1043" s="906" t="str">
        <f t="shared" ca="1" si="175"/>
        <v>P367</v>
      </c>
      <c r="C1043" s="906" t="str">
        <f t="shared" ca="1" si="176"/>
        <v>P368</v>
      </c>
      <c r="D1043" s="906" t="s">
        <v>1365</v>
      </c>
      <c r="E1043" s="906" t="s">
        <v>1535</v>
      </c>
      <c r="F1043" s="1480" t="s">
        <v>2067</v>
      </c>
      <c r="G1043" s="1480" t="str">
        <f>IF(T1043&lt;&gt;"","F","")</f>
        <v>F</v>
      </c>
      <c r="H1043" s="1480" t="s">
        <v>2063</v>
      </c>
      <c r="I1043" s="1427" t="str">
        <f t="shared" si="171"/>
        <v>Qualifying Cycle</v>
      </c>
      <c r="J1043" s="1480" t="str">
        <f t="shared" si="173"/>
        <v>F1026</v>
      </c>
      <c r="K1043" s="1480" t="str">
        <f t="shared" si="172"/>
        <v>Incentives Worksheet</v>
      </c>
      <c r="L1043" s="906" t="s">
        <v>1505</v>
      </c>
      <c r="M1043" s="1480">
        <v>1026</v>
      </c>
      <c r="N1043" s="1480"/>
      <c r="O1043" s="1477"/>
      <c r="P1043" s="1477"/>
      <c r="Q1043" s="1477"/>
      <c r="R1043" s="1480" t="s">
        <v>1144</v>
      </c>
      <c r="S1043" s="1477"/>
      <c r="T1043" s="1480">
        <f t="shared" si="174"/>
        <v>26</v>
      </c>
      <c r="U1043" s="1477"/>
      <c r="V1043" s="1477"/>
      <c r="W1043" s="1477"/>
      <c r="X1043" s="1477"/>
      <c r="Y1043" s="1477"/>
      <c r="Z1043" s="1477"/>
    </row>
    <row r="1044" spans="1:26" x14ac:dyDescent="0.25">
      <c r="A1044" s="932" t="s">
        <v>1506</v>
      </c>
      <c r="B1044" s="906" t="str">
        <f t="shared" ca="1" si="175"/>
        <v>R367</v>
      </c>
      <c r="C1044" s="906" t="str">
        <f t="shared" ca="1" si="176"/>
        <v>R368</v>
      </c>
      <c r="D1044" s="906" t="s">
        <v>1365</v>
      </c>
      <c r="E1044" s="906" t="s">
        <v>1535</v>
      </c>
      <c r="F1044" s="1480" t="s">
        <v>2068</v>
      </c>
      <c r="G1044" s="1480" t="str">
        <f>IF(T1044&lt;&gt;"","G","")</f>
        <v>G</v>
      </c>
      <c r="H1044" s="1480" t="s">
        <v>2063</v>
      </c>
      <c r="I1044" s="1427" t="str">
        <f t="shared" si="171"/>
        <v>Incentive Calendar</v>
      </c>
      <c r="J1044" s="1480" t="str">
        <f t="shared" si="173"/>
        <v>F1027</v>
      </c>
      <c r="K1044" s="1480" t="str">
        <f t="shared" si="172"/>
        <v>Incentives Worksheet</v>
      </c>
      <c r="L1044" s="906" t="s">
        <v>1506</v>
      </c>
      <c r="M1044" s="1480">
        <v>1027</v>
      </c>
      <c r="N1044" s="1480"/>
      <c r="O1044" s="1477"/>
      <c r="P1044" s="1477"/>
      <c r="Q1044" s="1477"/>
      <c r="R1044" s="1480" t="s">
        <v>1144</v>
      </c>
      <c r="S1044" s="1477"/>
      <c r="T1044" s="1480">
        <f t="shared" si="174"/>
        <v>26</v>
      </c>
      <c r="U1044" s="1477"/>
      <c r="V1044" s="1477"/>
      <c r="W1044" s="1477"/>
      <c r="X1044" s="1477"/>
      <c r="Y1044" s="1477"/>
      <c r="Z1044" s="1477"/>
    </row>
    <row r="1045" spans="1:26" x14ac:dyDescent="0.25">
      <c r="A1045" s="932" t="s">
        <v>1507</v>
      </c>
      <c r="B1045" s="906" t="str">
        <f t="shared" ca="1" si="175"/>
        <v>T367</v>
      </c>
      <c r="C1045" s="906" t="str">
        <f t="shared" ca="1" si="176"/>
        <v>T368</v>
      </c>
      <c r="D1045" s="906" t="s">
        <v>1365</v>
      </c>
      <c r="E1045" s="906" t="s">
        <v>1535</v>
      </c>
      <c r="F1045" s="923" t="s">
        <v>1507</v>
      </c>
      <c r="G1045" s="1480" t="str">
        <f>IF(T1045&lt;&gt;"","AW","")</f>
        <v/>
      </c>
      <c r="H1045" s="1480" t="s">
        <v>2063</v>
      </c>
      <c r="I1045" s="1427" t="str">
        <f t="shared" si="171"/>
        <v>Post to GL Payment Method Flag</v>
      </c>
      <c r="J1045" s="1480" t="str">
        <f t="shared" si="173"/>
        <v>F1028</v>
      </c>
      <c r="K1045" s="1480" t="str">
        <f t="shared" si="172"/>
        <v>Incentives Worksheet</v>
      </c>
      <c r="L1045" s="906" t="s">
        <v>1507</v>
      </c>
      <c r="M1045" s="1480">
        <v>1028</v>
      </c>
      <c r="N1045" s="1480"/>
      <c r="O1045" s="1477"/>
      <c r="P1045" s="1477"/>
      <c r="Q1045" s="1477"/>
      <c r="R1045" s="1480" t="s">
        <v>1144</v>
      </c>
      <c r="S1045" s="1477"/>
      <c r="T1045" s="1477"/>
      <c r="U1045" s="1477"/>
      <c r="V1045" s="1477"/>
      <c r="W1045" s="1477"/>
      <c r="X1045" s="1477"/>
      <c r="Y1045" s="1477"/>
      <c r="Z1045" s="1477"/>
    </row>
    <row r="1046" spans="1:26"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80" t="s">
        <v>1401</v>
      </c>
      <c r="G1046" s="1480" t="str">
        <f>IF(T1046&lt;&gt;"","C","")</f>
        <v>C</v>
      </c>
      <c r="H1046" s="1480" t="s">
        <v>2063</v>
      </c>
      <c r="I1046" s="1427" t="str">
        <f t="shared" si="171"/>
        <v/>
      </c>
      <c r="J1046" s="1480"/>
      <c r="K1046" s="1480" t="str">
        <f t="shared" si="172"/>
        <v/>
      </c>
      <c r="L1046" s="906" t="s">
        <v>1401</v>
      </c>
      <c r="M1046" s="1480">
        <v>1029</v>
      </c>
      <c r="N1046" s="1480"/>
      <c r="O1046" s="1477"/>
      <c r="P1046" s="1477"/>
      <c r="Q1046" s="1477"/>
      <c r="R1046" s="1480" t="s">
        <v>1144</v>
      </c>
      <c r="S1046" s="1477"/>
      <c r="T1046" s="1480">
        <f t="shared" ref="T1046:T1047" si="177">IF(Q$1038="Yes",26,"")</f>
        <v>26</v>
      </c>
      <c r="U1046" s="1477"/>
      <c r="V1046" s="1477"/>
      <c r="W1046" s="1477"/>
      <c r="X1046" s="1477"/>
      <c r="Y1046" s="1477"/>
      <c r="Z1046" s="1477"/>
    </row>
    <row r="1047" spans="1:26"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80" t="s">
        <v>1402</v>
      </c>
      <c r="G1047" s="1480" t="str">
        <f>IF(T1047&lt;&gt;"","D","")</f>
        <v>D</v>
      </c>
      <c r="H1047" s="1480" t="s">
        <v>2063</v>
      </c>
      <c r="I1047" s="1427" t="str">
        <f t="shared" si="171"/>
        <v/>
      </c>
      <c r="J1047" s="1480"/>
      <c r="K1047" s="1480" t="str">
        <f t="shared" si="172"/>
        <v/>
      </c>
      <c r="L1047" s="906" t="s">
        <v>1402</v>
      </c>
      <c r="M1047" s="1480">
        <v>1030</v>
      </c>
      <c r="N1047" s="1480"/>
      <c r="O1047" s="1477"/>
      <c r="P1047" s="1477"/>
      <c r="Q1047" s="1477"/>
      <c r="R1047" s="1480" t="s">
        <v>1144</v>
      </c>
      <c r="S1047" s="1477"/>
      <c r="T1047" s="1480">
        <f t="shared" si="177"/>
        <v>26</v>
      </c>
      <c r="U1047" s="1477"/>
      <c r="V1047" s="1477"/>
      <c r="W1047" s="1477"/>
      <c r="X1047" s="1477"/>
      <c r="Y1047" s="1477"/>
      <c r="Z1047" s="1477"/>
    </row>
    <row r="1048" spans="1:26"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80" t="s">
        <v>1514</v>
      </c>
      <c r="G1048" s="1480" t="str">
        <f>IF(T1048&lt;&gt;"","AN","")</f>
        <v>AN</v>
      </c>
      <c r="H1048" s="1480" t="s">
        <v>2063</v>
      </c>
      <c r="I1048" s="1427" t="str">
        <f t="shared" si="171"/>
        <v>Incentive Dates Match Agreement Dates Flag</v>
      </c>
      <c r="J1048" s="1480" t="str">
        <f t="shared" si="173"/>
        <v>F1031</v>
      </c>
      <c r="K1048" s="1480" t="str">
        <f t="shared" si="172"/>
        <v>Incentives Worksheet</v>
      </c>
      <c r="L1048" s="906" t="s">
        <v>1514</v>
      </c>
      <c r="M1048" s="1480">
        <v>1031</v>
      </c>
      <c r="N1048" s="1480"/>
      <c r="O1048" s="1477"/>
      <c r="P1048" s="1484" t="str" cm="1">
        <f t="array" aca="1" ref="P1048" ca="1">_xlfn.CONCAT("F",RIGHT(B1048, LEN(B1048) - MAX(IF(ISNUMBER(MID(B1048, ROW(INDIRECT("1:"&amp;LEN(B1048))), 1) *1)=FALSE, ROW(INDIRECT("1:"&amp;LEN(B1048))), 0))))</f>
        <v>F375</v>
      </c>
      <c r="Q1048" s="1480" t="str" cm="1">
        <f t="array" aca="1" ref="Q1048" ca="1">_xlfn.CONCAT("E",RIGHT(C1048, LEN(C1048) - MAX(IF(ISNUMBER(MID(C1048, ROW(INDIRECT("1:"&amp;LEN(C1048))), 1) *1)=FALSE, ROW(INDIRECT("1:"&amp;LEN(C1048))), 0))))</f>
        <v>E375</v>
      </c>
      <c r="R1048" s="1480" t="s">
        <v>1144</v>
      </c>
      <c r="S1048" s="1477"/>
      <c r="T1048" s="1480">
        <f>IF(Q$1038="Yes",26,"")</f>
        <v>26</v>
      </c>
      <c r="U1048" s="1477"/>
      <c r="V1048" s="1477"/>
      <c r="W1048" s="1477"/>
      <c r="X1048" s="1477"/>
      <c r="Y1048" s="1477"/>
      <c r="Z1048" s="1477"/>
    </row>
    <row r="1049" spans="1:26"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80" t="s">
        <v>1511</v>
      </c>
      <c r="G1049" s="1480" t="str">
        <f>IF(T1049&lt;&gt;"","AL","")</f>
        <v>AL</v>
      </c>
      <c r="H1049" s="1480" t="s">
        <v>2063</v>
      </c>
      <c r="I1049" s="1427" t="str">
        <f t="shared" si="171"/>
        <v>Include All Customers Flag</v>
      </c>
      <c r="J1049" s="1480" t="str">
        <f t="shared" si="173"/>
        <v>F1032</v>
      </c>
      <c r="K1049" s="1480" t="str">
        <f t="shared" si="172"/>
        <v>Incentives Worksheet</v>
      </c>
      <c r="L1049" s="906" t="s">
        <v>1511</v>
      </c>
      <c r="M1049" s="1480">
        <v>1032</v>
      </c>
      <c r="N1049" s="1480"/>
      <c r="O1049" s="1477"/>
      <c r="P1049" s="1477"/>
      <c r="Q1049" s="1477"/>
      <c r="R1049" s="1480" t="s">
        <v>1144</v>
      </c>
      <c r="S1049" s="1477"/>
      <c r="T1049" s="1480">
        <f>IF(Q$1038="Yes",26,"")</f>
        <v>26</v>
      </c>
      <c r="U1049" s="1477"/>
      <c r="V1049" s="1477"/>
      <c r="W1049" s="1477"/>
      <c r="X1049" s="1477"/>
      <c r="Y1049" s="1477"/>
      <c r="Z1049" s="1477"/>
    </row>
    <row r="1050" spans="1:26"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80" t="s">
        <v>1985</v>
      </c>
      <c r="G1050" s="1480" t="str">
        <f>IF(T1050&lt;&gt;"","O","")</f>
        <v>O</v>
      </c>
      <c r="H1050" s="1480" t="s">
        <v>2063</v>
      </c>
      <c r="I1050" s="1427" t="str">
        <f t="shared" si="171"/>
        <v/>
      </c>
      <c r="J1050" s="1480"/>
      <c r="K1050" s="1480" t="str">
        <f t="shared" si="172"/>
        <v/>
      </c>
      <c r="L1050" s="906" t="s">
        <v>1405</v>
      </c>
      <c r="M1050" s="1480">
        <v>1033</v>
      </c>
      <c r="N1050" s="1480"/>
      <c r="O1050" s="1477"/>
      <c r="P1050" s="1477"/>
      <c r="Q1050" s="1477"/>
      <c r="R1050" s="1480" t="s">
        <v>1144</v>
      </c>
      <c r="S1050" s="1477"/>
      <c r="T1050" s="1480">
        <f t="shared" ref="T1050" si="178">IF(Q$1038="Yes",26,"")</f>
        <v>26</v>
      </c>
      <c r="U1050" s="1477"/>
      <c r="V1050" s="1477"/>
      <c r="W1050" s="1477"/>
      <c r="X1050" s="1477"/>
      <c r="Y1050" s="1477"/>
      <c r="Z1050" s="1477"/>
    </row>
    <row r="1051" spans="1:26"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80" t="s">
        <v>1510</v>
      </c>
      <c r="G1051" s="1480" t="str">
        <f>IF(T1051&lt;&gt;"","A","")</f>
        <v>A</v>
      </c>
      <c r="H1051" s="1480" t="s">
        <v>2063</v>
      </c>
      <c r="I1051" s="1427" t="str">
        <f t="shared" si="171"/>
        <v/>
      </c>
      <c r="J1051" s="1480"/>
      <c r="K1051" s="1480" t="str">
        <f t="shared" si="172"/>
        <v/>
      </c>
      <c r="L1051" s="906" t="s">
        <v>1510</v>
      </c>
      <c r="M1051" s="1480">
        <v>1034</v>
      </c>
      <c r="N1051" s="1480"/>
      <c r="O1051" s="1477" t="s">
        <v>728</v>
      </c>
      <c r="P1051" s="1477"/>
      <c r="Q1051" s="1477"/>
      <c r="R1051" s="1480" t="s">
        <v>1719</v>
      </c>
      <c r="S1051" s="1477"/>
      <c r="T1051" s="1480">
        <f>IF(Q$1052="Yes",27,"")</f>
        <v>27</v>
      </c>
      <c r="U1051" s="1477"/>
      <c r="V1051" s="1477"/>
      <c r="W1051" s="1477"/>
      <c r="X1051" s="1477"/>
      <c r="Y1051" s="1477"/>
      <c r="Z1051" s="1477"/>
    </row>
    <row r="1052" spans="1:26"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80"/>
      <c r="G1052" s="1480"/>
      <c r="H1052" s="1480"/>
      <c r="I1052" s="1427" t="str">
        <f t="shared" si="171"/>
        <v>Offer This Incentive?</v>
      </c>
      <c r="J1052" s="1480" t="str">
        <f t="shared" ref="J1052:J1067" si="179">IF(M1052&lt;&gt;"",IF($Q$1052="Yes",Q$1&amp;M1052,""))</f>
        <v>F1035</v>
      </c>
      <c r="K1052" s="1480" t="str">
        <f t="shared" si="172"/>
        <v>Incentives Worksheet</v>
      </c>
      <c r="L1052" s="906" t="s">
        <v>1724</v>
      </c>
      <c r="M1052" s="1480">
        <v>1035</v>
      </c>
      <c r="N1052" s="1480"/>
      <c r="O1052" s="1477">
        <f>'Configurable Tab'!H29</f>
        <v>379</v>
      </c>
      <c r="P1052" s="1477"/>
      <c r="Q1052" s="1477" t="s">
        <v>649</v>
      </c>
      <c r="R1052" s="1480" t="s">
        <v>1719</v>
      </c>
      <c r="S1052" s="1477"/>
      <c r="T1052" s="1480">
        <f t="shared" ref="T1052:T1057" si="180">IF(Q$1052="Yes",27,"")</f>
        <v>27</v>
      </c>
      <c r="U1052" s="1477"/>
      <c r="V1052" s="1477"/>
      <c r="W1052" s="1477"/>
      <c r="X1052" s="1477"/>
      <c r="Y1052" s="1477"/>
      <c r="Z1052" s="1477"/>
    </row>
    <row r="1053" spans="1:26"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80" t="s">
        <v>1399</v>
      </c>
      <c r="G1053" s="1480" t="str">
        <f>IF(T1053&lt;&gt;"","B","")</f>
        <v>B</v>
      </c>
      <c r="H1053" s="1480" t="s">
        <v>2063</v>
      </c>
      <c r="I1053" s="1427" t="str">
        <f t="shared" si="171"/>
        <v/>
      </c>
      <c r="J1053" s="1480"/>
      <c r="K1053" s="1480" t="str">
        <f t="shared" si="172"/>
        <v/>
      </c>
      <c r="L1053" s="906" t="s">
        <v>1399</v>
      </c>
      <c r="M1053" s="1480">
        <v>1036</v>
      </c>
      <c r="N1053" s="1480"/>
      <c r="O1053" s="1477" t="s">
        <v>729</v>
      </c>
      <c r="P1053" s="1477"/>
      <c r="Q1053" s="1477"/>
      <c r="R1053" s="1480" t="s">
        <v>1719</v>
      </c>
      <c r="S1053" s="1477"/>
      <c r="T1053" s="1480">
        <f t="shared" si="180"/>
        <v>27</v>
      </c>
      <c r="U1053" s="1477"/>
      <c r="V1053" s="1477"/>
      <c r="W1053" s="1477"/>
      <c r="X1053" s="1477"/>
      <c r="Y1053" s="1477"/>
      <c r="Z1053" s="1477"/>
    </row>
    <row r="1054" spans="1:26"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80" t="s">
        <v>2065</v>
      </c>
      <c r="G1054" s="1480" t="str">
        <f>IF(T1054&lt;&gt;"","I","")</f>
        <v>I</v>
      </c>
      <c r="H1054" s="1480" t="s">
        <v>2063</v>
      </c>
      <c r="I1054" s="1427" t="str">
        <f t="shared" si="171"/>
        <v>Payment Method</v>
      </c>
      <c r="J1054" s="1480" t="str">
        <f t="shared" si="179"/>
        <v>F1037</v>
      </c>
      <c r="K1054" s="1480" t="str">
        <f t="shared" si="172"/>
        <v>Incentives Worksheet</v>
      </c>
      <c r="L1054" s="906" t="s">
        <v>1397</v>
      </c>
      <c r="M1054" s="1480">
        <v>1037</v>
      </c>
      <c r="N1054" s="1480"/>
      <c r="O1054" s="1477">
        <f>'Configurable Tab'!I29</f>
        <v>392</v>
      </c>
      <c r="P1054" s="1477"/>
      <c r="Q1054" s="1477" t="s">
        <v>484</v>
      </c>
      <c r="R1054" s="1480" t="s">
        <v>1719</v>
      </c>
      <c r="S1054" s="1477"/>
      <c r="T1054" s="1480">
        <f t="shared" si="180"/>
        <v>27</v>
      </c>
      <c r="U1054" s="1477"/>
      <c r="V1054" s="1477"/>
      <c r="W1054" s="1477"/>
      <c r="X1054" s="1477"/>
      <c r="Y1054" s="1477"/>
      <c r="Z1054" s="1477"/>
    </row>
    <row r="1055" spans="1:26"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80" t="s">
        <v>1398</v>
      </c>
      <c r="G1055" s="1480" t="str">
        <f>IF(T1055&lt;&gt;"",IF(Q1053="Credit Memo","J",IF(Q1053="Check","K","")),"")</f>
        <v/>
      </c>
      <c r="H1055" s="1480" t="s">
        <v>2063</v>
      </c>
      <c r="I1055" s="1427" t="str">
        <f t="shared" si="171"/>
        <v>AP/AR Vendor Number</v>
      </c>
      <c r="J1055" s="1480" t="str">
        <f t="shared" si="179"/>
        <v>F1038</v>
      </c>
      <c r="K1055" s="1480" t="str">
        <f t="shared" si="172"/>
        <v>Incentives Worksheet</v>
      </c>
      <c r="L1055" s="906" t="s">
        <v>1398</v>
      </c>
      <c r="M1055" s="1480">
        <v>1038</v>
      </c>
      <c r="N1055" s="1480"/>
      <c r="O1055" s="1477" t="s">
        <v>1673</v>
      </c>
      <c r="P1055" s="1477"/>
      <c r="Q1055" s="1477"/>
      <c r="R1055" s="1480" t="s">
        <v>1719</v>
      </c>
      <c r="S1055" s="1477"/>
      <c r="T1055" s="1480">
        <f t="shared" si="180"/>
        <v>27</v>
      </c>
      <c r="U1055" s="1477"/>
      <c r="V1055" s="1477"/>
      <c r="W1055" s="1477"/>
      <c r="X1055" s="1477"/>
      <c r="Y1055" s="1477"/>
      <c r="Z1055" s="1477"/>
    </row>
    <row r="1056" spans="1:26"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80" t="s">
        <v>1401</v>
      </c>
      <c r="G1056" s="1480" t="str">
        <f>IF(T1056&lt;&gt;"","C","")</f>
        <v>C</v>
      </c>
      <c r="H1056" s="1480" t="s">
        <v>2063</v>
      </c>
      <c r="I1056" s="1427" t="str">
        <f t="shared" si="171"/>
        <v/>
      </c>
      <c r="J1056" s="1480"/>
      <c r="K1056" s="1480" t="str">
        <f t="shared" si="172"/>
        <v/>
      </c>
      <c r="L1056" s="906" t="s">
        <v>1401</v>
      </c>
      <c r="M1056" s="1480">
        <v>1039</v>
      </c>
      <c r="N1056" s="1480"/>
      <c r="O1056" s="1477"/>
      <c r="P1056" s="1477"/>
      <c r="Q1056" s="1477"/>
      <c r="R1056" s="1480" t="s">
        <v>1719</v>
      </c>
      <c r="S1056" s="1477"/>
      <c r="T1056" s="1480">
        <f t="shared" si="180"/>
        <v>27</v>
      </c>
      <c r="U1056" s="1477"/>
      <c r="V1056" s="1477"/>
      <c r="W1056" s="1477"/>
      <c r="X1056" s="1477"/>
      <c r="Y1056" s="1477"/>
      <c r="Z1056" s="1477"/>
    </row>
    <row r="1057" spans="1:26"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80" t="s">
        <v>1402</v>
      </c>
      <c r="G1057" s="1480" t="str">
        <f>IF(T1057&lt;&gt;"","D","")</f>
        <v>D</v>
      </c>
      <c r="H1057" s="1480" t="s">
        <v>2063</v>
      </c>
      <c r="I1057" s="1427" t="str">
        <f t="shared" si="171"/>
        <v/>
      </c>
      <c r="J1057" s="1480"/>
      <c r="K1057" s="1480" t="str">
        <f t="shared" si="172"/>
        <v/>
      </c>
      <c r="L1057" s="906" t="s">
        <v>1402</v>
      </c>
      <c r="M1057" s="1480">
        <v>1040</v>
      </c>
      <c r="N1057" s="1480"/>
      <c r="O1057" s="1477"/>
      <c r="P1057" s="1477"/>
      <c r="Q1057" s="1477"/>
      <c r="R1057" s="1480" t="s">
        <v>1719</v>
      </c>
      <c r="S1057" s="1477"/>
      <c r="T1057" s="1480">
        <f t="shared" si="180"/>
        <v>27</v>
      </c>
      <c r="U1057" s="1477"/>
      <c r="V1057" s="1477"/>
      <c r="W1057" s="1477"/>
      <c r="X1057" s="1477"/>
      <c r="Y1057" s="1477"/>
      <c r="Z1057" s="1477"/>
    </row>
    <row r="1058" spans="1:26"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80" t="s">
        <v>1514</v>
      </c>
      <c r="G1058" s="1480" t="str">
        <f>IF(T1058&lt;&gt;"","AN","")</f>
        <v>AN</v>
      </c>
      <c r="H1058" s="1480" t="s">
        <v>2063</v>
      </c>
      <c r="I1058" s="1427" t="str">
        <f t="shared" si="171"/>
        <v>Incentive Dates Match Agreement Dates Flag</v>
      </c>
      <c r="J1058" s="1480" t="str">
        <f t="shared" si="179"/>
        <v>F1041</v>
      </c>
      <c r="K1058" s="1480" t="str">
        <f t="shared" si="172"/>
        <v>Incentives Worksheet</v>
      </c>
      <c r="L1058" s="906" t="s">
        <v>1514</v>
      </c>
      <c r="M1058" s="1480">
        <v>1041</v>
      </c>
      <c r="N1058" s="1480"/>
      <c r="O1058" s="1477"/>
      <c r="P1058" s="1484" t="str" cm="1">
        <f t="array" aca="1" ref="P1058" ca="1">_xlfn.CONCAT("F",RIGHT(B1058, LEN(B1058) - MAX(IF(ISNUMBER(MID(B1058, ROW(INDIRECT("1:"&amp;LEN(B1058))), 1) *1)=FALSE, ROW(INDIRECT("1:"&amp;LEN(B1058))), 0))))</f>
        <v>F389</v>
      </c>
      <c r="Q1058" s="1480" t="str" cm="1">
        <f t="array" aca="1" ref="Q1058" ca="1">_xlfn.CONCAT("E",RIGHT(C1058, LEN(C1058) - MAX(IF(ISNUMBER(MID(C1058, ROW(INDIRECT("1:"&amp;LEN(C1058))), 1) *1)=FALSE, ROW(INDIRECT("1:"&amp;LEN(C1058))), 0))))</f>
        <v>E389</v>
      </c>
      <c r="R1058" s="1480" t="s">
        <v>1719</v>
      </c>
      <c r="S1058" s="1477"/>
      <c r="T1058" s="1480">
        <f>IF(Q$1052="Yes",27,"")</f>
        <v>27</v>
      </c>
      <c r="U1058" s="1477"/>
      <c r="V1058" s="1477"/>
      <c r="W1058" s="1477"/>
      <c r="X1058" s="1477"/>
      <c r="Y1058" s="1477"/>
      <c r="Z1058" s="1477"/>
    </row>
    <row r="1059" spans="1:26"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80" t="s">
        <v>1511</v>
      </c>
      <c r="G1059" s="1480" t="str">
        <f>IF(T1059&lt;&gt;"","AL","")</f>
        <v>AL</v>
      </c>
      <c r="H1059" s="1480" t="s">
        <v>2063</v>
      </c>
      <c r="I1059" s="1427" t="str">
        <f t="shared" si="171"/>
        <v>Include All Customers Flag</v>
      </c>
      <c r="J1059" s="1480" t="str">
        <f t="shared" si="179"/>
        <v>F1042</v>
      </c>
      <c r="K1059" s="1480" t="str">
        <f t="shared" si="172"/>
        <v>Incentives Worksheet</v>
      </c>
      <c r="L1059" s="906" t="s">
        <v>1511</v>
      </c>
      <c r="M1059" s="1480">
        <v>1042</v>
      </c>
      <c r="N1059" s="1480"/>
      <c r="O1059" s="1477"/>
      <c r="P1059" s="1477"/>
      <c r="Q1059" s="1477"/>
      <c r="R1059" s="1480" t="s">
        <v>1719</v>
      </c>
      <c r="S1059" s="1477"/>
      <c r="T1059" s="1480">
        <f>IF(Q$1052="Yes",27,"")</f>
        <v>27</v>
      </c>
      <c r="U1059" s="1477"/>
      <c r="V1059" s="1477"/>
      <c r="W1059" s="1477"/>
      <c r="X1059" s="1477"/>
      <c r="Y1059" s="1477"/>
      <c r="Z1059" s="1477"/>
    </row>
    <row r="1060" spans="1:26"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80"/>
      <c r="G1060" s="1480"/>
      <c r="H1060" s="1480"/>
      <c r="I1060" s="1427" t="str">
        <f t="shared" si="171"/>
        <v>FF Payment Amount</v>
      </c>
      <c r="J1060" s="1480" t="str">
        <f t="shared" si="179"/>
        <v>F1043</v>
      </c>
      <c r="K1060" s="1480" t="str">
        <f t="shared" si="172"/>
        <v>Incentives Worksheet</v>
      </c>
      <c r="L1060" s="906" t="s">
        <v>1412</v>
      </c>
      <c r="M1060" s="1480">
        <v>1043</v>
      </c>
      <c r="N1060" s="1480"/>
      <c r="O1060" s="1477"/>
      <c r="P1060" s="1477"/>
      <c r="Q1060" s="1477"/>
      <c r="R1060" s="1480" t="s">
        <v>1719</v>
      </c>
      <c r="S1060" s="1477"/>
      <c r="T1060" s="1477"/>
      <c r="U1060" s="1477"/>
      <c r="V1060" s="1477"/>
      <c r="W1060" s="1477"/>
      <c r="X1060" s="1477"/>
      <c r="Y1060" s="1477"/>
      <c r="Z1060" s="1477"/>
    </row>
    <row r="1061" spans="1:26"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80"/>
      <c r="G1061" s="1480"/>
      <c r="H1061" s="1480"/>
      <c r="I1061" s="1427" t="str">
        <f t="shared" si="171"/>
        <v>Unamortized Prepaid Amount</v>
      </c>
      <c r="J1061" s="1480" t="str">
        <f t="shared" si="179"/>
        <v>F1044</v>
      </c>
      <c r="K1061" s="1480" t="str">
        <f t="shared" si="172"/>
        <v>Incentives Worksheet</v>
      </c>
      <c r="L1061" s="906" t="s">
        <v>1493</v>
      </c>
      <c r="M1061" s="1480">
        <v>1044</v>
      </c>
      <c r="N1061" s="1480"/>
      <c r="O1061" s="1477"/>
      <c r="P1061" s="1477"/>
      <c r="Q1061" s="1477"/>
      <c r="R1061" s="1480" t="s">
        <v>1719</v>
      </c>
      <c r="S1061" s="1477"/>
      <c r="T1061" s="1477"/>
      <c r="U1061" s="1477"/>
      <c r="V1061" s="1477"/>
      <c r="W1061" s="1477"/>
      <c r="X1061" s="1477"/>
      <c r="Y1061" s="1477"/>
      <c r="Z1061" s="1477"/>
    </row>
    <row r="1062" spans="1:26"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71"/>
        <v>Net Prepaid Amount</v>
      </c>
      <c r="J1062" s="1480" t="str">
        <f t="shared" si="179"/>
        <v>F1045</v>
      </c>
      <c r="K1062" s="1480" t="str">
        <f t="shared" si="172"/>
        <v>Incentives Worksheet</v>
      </c>
      <c r="L1062" s="906" t="s">
        <v>1494</v>
      </c>
      <c r="M1062" s="1480">
        <v>1045</v>
      </c>
      <c r="N1062" s="1480"/>
      <c r="O1062" s="1477"/>
      <c r="P1062" s="1477"/>
      <c r="Q1062" s="1477"/>
      <c r="R1062" s="1480" t="s">
        <v>1719</v>
      </c>
      <c r="S1062" s="1477"/>
      <c r="T1062" s="1477"/>
      <c r="U1062" s="1477"/>
      <c r="V1062" s="1477"/>
      <c r="W1062" s="1477"/>
      <c r="X1062" s="1477"/>
      <c r="Y1062" s="1477"/>
      <c r="Z1062" s="1477"/>
    </row>
    <row r="1063" spans="1:26"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80" t="s">
        <v>1498</v>
      </c>
      <c r="G1063" s="1480" t="str">
        <f>IF(T1063&lt;&gt;"","AY","")</f>
        <v>AY</v>
      </c>
      <c r="H1063" s="1480" t="s">
        <v>2063</v>
      </c>
      <c r="I1063" s="1427" t="str">
        <f t="shared" si="171"/>
        <v>Previous Agreement Incentive Reference Number</v>
      </c>
      <c r="J1063" s="1480" t="str">
        <f t="shared" si="179"/>
        <v>F1046</v>
      </c>
      <c r="K1063" s="1480" t="str">
        <f t="shared" si="172"/>
        <v>Incentives Worksheet</v>
      </c>
      <c r="L1063" s="907" t="s">
        <v>1498</v>
      </c>
      <c r="M1063" s="1480">
        <v>1046</v>
      </c>
      <c r="N1063" s="1480"/>
      <c r="O1063" s="1477"/>
      <c r="P1063" s="1477"/>
      <c r="Q1063" s="1477"/>
      <c r="R1063" s="1480" t="s">
        <v>1719</v>
      </c>
      <c r="S1063" s="1477"/>
      <c r="T1063" s="1480">
        <f t="shared" ref="T1063:T1065" si="181">IF(Q$1052="Yes",27,"")</f>
        <v>27</v>
      </c>
      <c r="U1063" s="1477"/>
      <c r="V1063" s="1477"/>
      <c r="W1063" s="1477"/>
      <c r="X1063" s="1477"/>
      <c r="Y1063" s="1477"/>
      <c r="Z1063" s="1477"/>
    </row>
    <row r="1064" spans="1:26"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80"/>
      <c r="G1064" s="1480"/>
      <c r="H1064" s="1480"/>
      <c r="I1064" s="1427" t="str">
        <f t="shared" si="171"/>
        <v>Previous Agreement Effective Date</v>
      </c>
      <c r="J1064" s="1480" t="str">
        <f t="shared" si="179"/>
        <v>F1047</v>
      </c>
      <c r="K1064" s="1480" t="str">
        <f t="shared" si="172"/>
        <v>Incentives Worksheet</v>
      </c>
      <c r="L1064" s="906" t="s">
        <v>1143</v>
      </c>
      <c r="M1064" s="1480">
        <v>1047</v>
      </c>
      <c r="N1064" s="1480"/>
      <c r="O1064" s="1477"/>
      <c r="P1064" s="1477"/>
      <c r="Q1064" s="1477"/>
      <c r="R1064" s="1480" t="s">
        <v>1719</v>
      </c>
      <c r="S1064" s="1477"/>
      <c r="T1064" s="1477"/>
      <c r="U1064" s="1477"/>
      <c r="V1064" s="1477"/>
      <c r="W1064" s="1477"/>
      <c r="X1064" s="1477"/>
      <c r="Y1064" s="1477"/>
      <c r="Z1064" s="1477"/>
    </row>
    <row r="1065" spans="1:26"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80" t="str">
        <f>IF(T1065&lt;&gt;"","AT","")</f>
        <v>AT</v>
      </c>
      <c r="H1065" s="1480" t="s">
        <v>2063</v>
      </c>
      <c r="I1065" s="1427" t="str">
        <f t="shared" si="171"/>
        <v>Agreement Classification</v>
      </c>
      <c r="J1065" s="1480" t="str">
        <f t="shared" si="179"/>
        <v>F1048</v>
      </c>
      <c r="K1065" s="1480" t="str">
        <f t="shared" si="172"/>
        <v>Incentives Worksheet</v>
      </c>
      <c r="L1065" s="906" t="s">
        <v>1418</v>
      </c>
      <c r="M1065" s="1480">
        <v>1048</v>
      </c>
      <c r="N1065" s="1480"/>
      <c r="O1065" s="1477"/>
      <c r="P1065" s="1477"/>
      <c r="Q1065" s="1477"/>
      <c r="R1065" s="1480" t="s">
        <v>1719</v>
      </c>
      <c r="S1065" s="1477"/>
      <c r="T1065" s="1480">
        <f t="shared" si="181"/>
        <v>27</v>
      </c>
      <c r="U1065" s="1477"/>
      <c r="V1065" s="1477"/>
      <c r="W1065" s="1477"/>
      <c r="X1065" s="1477"/>
      <c r="Y1065" s="1477"/>
      <c r="Z1065" s="1477"/>
    </row>
    <row r="1066" spans="1:26"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80"/>
      <c r="G1066" s="1480"/>
      <c r="H1066" s="1480"/>
      <c r="I1066" s="1427" t="str">
        <f t="shared" si="171"/>
        <v>Previous Agreement Expiration Date</v>
      </c>
      <c r="J1066" s="1480" t="str">
        <f t="shared" si="179"/>
        <v>F1049</v>
      </c>
      <c r="K1066" s="1480" t="str">
        <f t="shared" si="172"/>
        <v>Incentives Worksheet</v>
      </c>
      <c r="L1066" s="906" t="s">
        <v>1499</v>
      </c>
      <c r="M1066" s="1480">
        <v>1049</v>
      </c>
      <c r="N1066" s="1480"/>
      <c r="O1066" s="1477"/>
      <c r="P1066" s="1477"/>
      <c r="Q1066" s="1477"/>
      <c r="R1066" s="1480" t="s">
        <v>1719</v>
      </c>
      <c r="S1066" s="1477"/>
      <c r="T1066" s="1477"/>
      <c r="U1066" s="1477"/>
      <c r="V1066" s="1477"/>
      <c r="W1066" s="1477"/>
      <c r="X1066" s="1477"/>
      <c r="Y1066" s="1477"/>
      <c r="Z1066" s="1477"/>
    </row>
    <row r="1067" spans="1:26"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80"/>
      <c r="G1067" s="1480"/>
      <c r="H1067" s="1480"/>
      <c r="I1067" s="1427" t="str">
        <f t="shared" si="171"/>
        <v>Previous Prepaid Amount</v>
      </c>
      <c r="J1067" s="1480" t="str">
        <f t="shared" si="179"/>
        <v>F1050</v>
      </c>
      <c r="K1067" s="1480" t="str">
        <f t="shared" si="172"/>
        <v>Incentives Worksheet</v>
      </c>
      <c r="L1067" s="906" t="s">
        <v>1142</v>
      </c>
      <c r="M1067" s="1480">
        <v>1050</v>
      </c>
      <c r="N1067" s="1480"/>
      <c r="O1067" s="1477"/>
      <c r="P1067" s="1477"/>
      <c r="Q1067" s="1477"/>
      <c r="R1067" s="1480" t="s">
        <v>1719</v>
      </c>
      <c r="S1067" s="1477"/>
      <c r="T1067" s="1477"/>
      <c r="U1067" s="1477"/>
      <c r="V1067" s="1477"/>
      <c r="W1067" s="1477"/>
      <c r="X1067" s="1477"/>
      <c r="Y1067" s="1477"/>
      <c r="Z1067" s="1477"/>
    </row>
    <row r="1068" spans="1:26"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80" t="s">
        <v>1510</v>
      </c>
      <c r="G1068" s="1480" t="str">
        <f>IF(T1068&lt;&gt;"","A","")</f>
        <v/>
      </c>
      <c r="H1068" s="1480" t="s">
        <v>2063</v>
      </c>
      <c r="I1068" s="1427" t="str">
        <f t="shared" si="171"/>
        <v/>
      </c>
      <c r="J1068" s="1480"/>
      <c r="K1068" s="1480" t="str">
        <f t="shared" si="172"/>
        <v/>
      </c>
      <c r="L1068" s="906" t="s">
        <v>1510</v>
      </c>
      <c r="M1068" s="1480">
        <v>1051</v>
      </c>
      <c r="N1068" s="1480"/>
      <c r="O1068" s="1477" t="s">
        <v>728</v>
      </c>
      <c r="P1068" s="1477"/>
      <c r="Q1068" s="1477"/>
      <c r="R1068" s="1480" t="s">
        <v>1719</v>
      </c>
      <c r="S1068" s="1477"/>
      <c r="T1068" s="1480" t="str">
        <f>IF(Q$1069="Yes",28,"")</f>
        <v/>
      </c>
      <c r="U1068" s="1477"/>
      <c r="V1068" s="1477"/>
      <c r="W1068" s="1477"/>
      <c r="X1068" s="1477"/>
      <c r="Y1068" s="1477"/>
      <c r="Z1068" s="1477"/>
    </row>
    <row r="1069" spans="1:26"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80"/>
      <c r="G1069" s="1480"/>
      <c r="H1069" s="1480"/>
      <c r="I1069" s="1427" t="str">
        <f t="shared" si="171"/>
        <v/>
      </c>
      <c r="J1069" s="1480" t="str">
        <f t="shared" ref="J1069:J1083" si="182">IF(M1069&lt;&gt;"",IF($Q$1069="Yes",Q$1&amp;M1069,""))</f>
        <v/>
      </c>
      <c r="K1069" s="1480" t="str">
        <f t="shared" si="172"/>
        <v/>
      </c>
      <c r="L1069" s="906" t="s">
        <v>1724</v>
      </c>
      <c r="M1069" s="1480">
        <v>1052</v>
      </c>
      <c r="N1069" s="1480"/>
      <c r="O1069" s="1477">
        <f>'Configurable Tab'!H30</f>
        <v>393</v>
      </c>
      <c r="P1069" s="1477"/>
      <c r="Q1069" s="1477" t="s">
        <v>651</v>
      </c>
      <c r="R1069" s="1480" t="s">
        <v>1719</v>
      </c>
      <c r="S1069" s="1477"/>
      <c r="T1069" s="1480" t="str">
        <f t="shared" ref="T1069:T1074" si="183">IF(Q$1069="Yes",28,"")</f>
        <v/>
      </c>
      <c r="U1069" s="1477"/>
      <c r="V1069" s="1477"/>
      <c r="W1069" s="1477"/>
      <c r="X1069" s="1477"/>
      <c r="Y1069" s="1477"/>
      <c r="Z1069" s="1477"/>
    </row>
    <row r="1070" spans="1:26"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80" t="s">
        <v>1399</v>
      </c>
      <c r="G1070" s="1480" t="str">
        <f>IF(T1070&lt;&gt;"","B","")</f>
        <v/>
      </c>
      <c r="H1070" s="1480" t="s">
        <v>2063</v>
      </c>
      <c r="I1070" s="1427" t="str">
        <f t="shared" si="171"/>
        <v/>
      </c>
      <c r="J1070" s="1480"/>
      <c r="K1070" s="1480" t="str">
        <f t="shared" si="172"/>
        <v/>
      </c>
      <c r="L1070" s="906" t="s">
        <v>1399</v>
      </c>
      <c r="M1070" s="1480">
        <v>1053</v>
      </c>
      <c r="N1070" s="1480"/>
      <c r="O1070" s="1477" t="s">
        <v>729</v>
      </c>
      <c r="P1070" s="1477"/>
      <c r="Q1070" s="1477"/>
      <c r="R1070" s="1480" t="s">
        <v>1719</v>
      </c>
      <c r="S1070" s="1477"/>
      <c r="T1070" s="1480" t="str">
        <f t="shared" si="183"/>
        <v/>
      </c>
      <c r="U1070" s="1477"/>
      <c r="V1070" s="1477"/>
      <c r="W1070" s="1477"/>
      <c r="X1070" s="1477"/>
      <c r="Y1070" s="1477"/>
      <c r="Z1070" s="1477"/>
    </row>
    <row r="1071" spans="1:26"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80" t="s">
        <v>2065</v>
      </c>
      <c r="G1071" s="1480" t="str">
        <f>IF(T1071&lt;&gt;"","I","")</f>
        <v/>
      </c>
      <c r="H1071" s="1480" t="s">
        <v>2063</v>
      </c>
      <c r="I1071" s="1427" t="str">
        <f t="shared" si="171"/>
        <v/>
      </c>
      <c r="J1071" s="1480" t="str">
        <f t="shared" si="182"/>
        <v/>
      </c>
      <c r="K1071" s="1480" t="str">
        <f t="shared" si="172"/>
        <v/>
      </c>
      <c r="L1071" s="906" t="s">
        <v>1397</v>
      </c>
      <c r="M1071" s="1480">
        <v>1054</v>
      </c>
      <c r="N1071" s="1480"/>
      <c r="O1071" s="1477">
        <f>'Configurable Tab'!I30</f>
        <v>406</v>
      </c>
      <c r="P1071" s="1477"/>
      <c r="Q1071" s="1477"/>
      <c r="R1071" s="1480" t="s">
        <v>1719</v>
      </c>
      <c r="S1071" s="1477"/>
      <c r="T1071" s="1480" t="str">
        <f t="shared" si="183"/>
        <v/>
      </c>
      <c r="U1071" s="1477"/>
      <c r="V1071" s="1477"/>
      <c r="W1071" s="1477"/>
      <c r="X1071" s="1477"/>
      <c r="Y1071" s="1477"/>
      <c r="Z1071" s="1477"/>
    </row>
    <row r="1072" spans="1:26"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80" t="s">
        <v>1398</v>
      </c>
      <c r="G1072" s="1480" t="str">
        <f>IF(T1072&lt;&gt;"",IF(Q1070="Credit Memo","J",IF(Q1070="Check","K","")),"")</f>
        <v/>
      </c>
      <c r="H1072" s="1480" t="s">
        <v>2063</v>
      </c>
      <c r="I1072" s="1427" t="str">
        <f t="shared" si="171"/>
        <v/>
      </c>
      <c r="J1072" s="1480" t="str">
        <f t="shared" si="182"/>
        <v/>
      </c>
      <c r="K1072" s="1480" t="str">
        <f t="shared" si="172"/>
        <v/>
      </c>
      <c r="L1072" s="906" t="s">
        <v>1398</v>
      </c>
      <c r="M1072" s="1480">
        <v>1055</v>
      </c>
      <c r="N1072" s="1480"/>
      <c r="O1072" s="1477" t="s">
        <v>1674</v>
      </c>
      <c r="P1072" s="1477"/>
      <c r="Q1072" s="1477"/>
      <c r="R1072" s="1480" t="s">
        <v>1719</v>
      </c>
      <c r="S1072" s="1477"/>
      <c r="T1072" s="1480" t="str">
        <f t="shared" si="183"/>
        <v/>
      </c>
      <c r="U1072" s="1477"/>
      <c r="V1072" s="1477"/>
      <c r="W1072" s="1477"/>
      <c r="X1072" s="1477"/>
      <c r="Y1072" s="1477"/>
      <c r="Z1072" s="1477"/>
    </row>
    <row r="1073" spans="1:26"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80" t="s">
        <v>1401</v>
      </c>
      <c r="G1073" s="1480" t="str">
        <f>IF(T1073&lt;&gt;"","C","")</f>
        <v/>
      </c>
      <c r="H1073" s="1480" t="s">
        <v>2063</v>
      </c>
      <c r="I1073" s="1427" t="str">
        <f t="shared" si="171"/>
        <v/>
      </c>
      <c r="J1073" s="1480"/>
      <c r="K1073" s="1480" t="str">
        <f t="shared" si="172"/>
        <v/>
      </c>
      <c r="L1073" s="906" t="s">
        <v>1401</v>
      </c>
      <c r="M1073" s="1480">
        <v>1056</v>
      </c>
      <c r="N1073" s="1480"/>
      <c r="O1073" s="1477"/>
      <c r="P1073" s="1477"/>
      <c r="Q1073" s="1477"/>
      <c r="R1073" s="1480" t="s">
        <v>1719</v>
      </c>
      <c r="S1073" s="1477"/>
      <c r="T1073" s="1480" t="str">
        <f t="shared" si="183"/>
        <v/>
      </c>
      <c r="U1073" s="1477"/>
      <c r="V1073" s="1477"/>
      <c r="W1073" s="1477"/>
      <c r="X1073" s="1477"/>
      <c r="Y1073" s="1477"/>
      <c r="Z1073" s="1477"/>
    </row>
    <row r="1074" spans="1:26"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80" t="s">
        <v>1402</v>
      </c>
      <c r="G1074" s="1480" t="str">
        <f>IF(T1074&lt;&gt;"","D","")</f>
        <v/>
      </c>
      <c r="H1074" s="1480" t="s">
        <v>2063</v>
      </c>
      <c r="I1074" s="1427" t="str">
        <f t="shared" si="171"/>
        <v/>
      </c>
      <c r="J1074" s="1480"/>
      <c r="K1074" s="1480" t="str">
        <f t="shared" si="172"/>
        <v/>
      </c>
      <c r="L1074" s="906" t="s">
        <v>1402</v>
      </c>
      <c r="M1074" s="1480">
        <v>1057</v>
      </c>
      <c r="N1074" s="1480"/>
      <c r="O1074" s="1477"/>
      <c r="P1074" s="1477"/>
      <c r="Q1074" s="1477"/>
      <c r="R1074" s="1480" t="s">
        <v>1719</v>
      </c>
      <c r="S1074" s="1477"/>
      <c r="T1074" s="1480" t="str">
        <f t="shared" si="183"/>
        <v/>
      </c>
      <c r="U1074" s="1477"/>
      <c r="V1074" s="1477"/>
      <c r="W1074" s="1477"/>
      <c r="X1074" s="1477"/>
      <c r="Y1074" s="1477"/>
      <c r="Z1074" s="1477"/>
    </row>
    <row r="1075" spans="1:26"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80" t="s">
        <v>1514</v>
      </c>
      <c r="G1075" s="1480" t="str">
        <f>IF(T1075&lt;&gt;"","AN","")</f>
        <v/>
      </c>
      <c r="H1075" s="1480" t="s">
        <v>2063</v>
      </c>
      <c r="I1075" s="1427" t="str">
        <f t="shared" si="171"/>
        <v/>
      </c>
      <c r="J1075" s="1480" t="str">
        <f t="shared" si="182"/>
        <v/>
      </c>
      <c r="K1075" s="1480" t="str">
        <f t="shared" si="172"/>
        <v/>
      </c>
      <c r="L1075" s="906" t="s">
        <v>1514</v>
      </c>
      <c r="M1075" s="1480">
        <v>1058</v>
      </c>
      <c r="N1075" s="1480"/>
      <c r="O1075" s="1477"/>
      <c r="P1075" s="1484" t="str" cm="1">
        <f t="array" aca="1" ref="P1075" ca="1">_xlfn.CONCAT("F",RIGHT(B1075, LEN(B1075) - MAX(IF(ISNUMBER(MID(B1075, ROW(INDIRECT("1:"&amp;LEN(B1075))), 1) *1)=FALSE, ROW(INDIRECT("1:"&amp;LEN(B1075))), 0))))</f>
        <v>F403</v>
      </c>
      <c r="Q1075" s="1480" t="str" cm="1">
        <f t="array" aca="1" ref="Q1075" ca="1">_xlfn.CONCAT("E",RIGHT(C1075, LEN(C1075) - MAX(IF(ISNUMBER(MID(C1075, ROW(INDIRECT("1:"&amp;LEN(C1075))), 1) *1)=FALSE, ROW(INDIRECT("1:"&amp;LEN(C1075))), 0))))</f>
        <v>E403</v>
      </c>
      <c r="R1075" s="1480" t="s">
        <v>1719</v>
      </c>
      <c r="S1075" s="1477"/>
      <c r="T1075" s="1480" t="str">
        <f>IF(Q$1069="Yes",28,"")</f>
        <v/>
      </c>
      <c r="U1075" s="1477"/>
      <c r="V1075" s="1477"/>
      <c r="W1075" s="1477"/>
      <c r="X1075" s="1477"/>
      <c r="Y1075" s="1477"/>
      <c r="Z1075" s="1477"/>
    </row>
    <row r="1076" spans="1:26"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80" t="s">
        <v>1511</v>
      </c>
      <c r="G1076" s="1480" t="str">
        <f>IF(T1076&lt;&gt;"","AL","")</f>
        <v/>
      </c>
      <c r="H1076" s="1480" t="s">
        <v>2063</v>
      </c>
      <c r="I1076" s="1427" t="str">
        <f t="shared" si="171"/>
        <v/>
      </c>
      <c r="J1076" s="1480" t="str">
        <f t="shared" si="182"/>
        <v/>
      </c>
      <c r="K1076" s="1480" t="str">
        <f t="shared" si="172"/>
        <v/>
      </c>
      <c r="L1076" s="906" t="s">
        <v>1511</v>
      </c>
      <c r="M1076" s="1480">
        <v>1059</v>
      </c>
      <c r="N1076" s="1480"/>
      <c r="O1076" s="1477"/>
      <c r="P1076" s="1477"/>
      <c r="Q1076" s="1477"/>
      <c r="R1076" s="1480" t="s">
        <v>1719</v>
      </c>
      <c r="S1076" s="1477"/>
      <c r="T1076" s="1480" t="str">
        <f>IF(Q$1069="Yes",28,"")</f>
        <v/>
      </c>
      <c r="U1076" s="1477"/>
      <c r="V1076" s="1477"/>
      <c r="W1076" s="1477"/>
      <c r="X1076" s="1477"/>
      <c r="Y1076" s="1477"/>
      <c r="Z1076" s="1477"/>
    </row>
    <row r="1077" spans="1:26"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80"/>
      <c r="G1077" s="1480"/>
      <c r="H1077" s="1480"/>
      <c r="I1077" s="1427" t="str">
        <f t="shared" si="171"/>
        <v/>
      </c>
      <c r="J1077" s="1480" t="str">
        <f t="shared" si="182"/>
        <v/>
      </c>
      <c r="K1077" s="1480" t="str">
        <f t="shared" si="172"/>
        <v/>
      </c>
      <c r="L1077" s="906" t="s">
        <v>1412</v>
      </c>
      <c r="M1077" s="1480">
        <v>1060</v>
      </c>
      <c r="N1077" s="1480"/>
      <c r="O1077" s="1477"/>
      <c r="P1077" s="1477"/>
      <c r="Q1077" s="1477"/>
      <c r="R1077" s="1480" t="s">
        <v>1719</v>
      </c>
      <c r="S1077" s="1477"/>
      <c r="T1077" s="1477"/>
      <c r="U1077" s="1477"/>
      <c r="V1077" s="1477"/>
      <c r="W1077" s="1477"/>
      <c r="X1077" s="1477"/>
      <c r="Y1077" s="1477"/>
      <c r="Z1077" s="1477"/>
    </row>
    <row r="1078" spans="1:26"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80"/>
      <c r="G1078" s="1480"/>
      <c r="H1078" s="1480"/>
      <c r="I1078" s="1427" t="str">
        <f t="shared" si="171"/>
        <v/>
      </c>
      <c r="J1078" s="1480" t="str">
        <f t="shared" si="182"/>
        <v/>
      </c>
      <c r="K1078" s="1480" t="str">
        <f t="shared" si="172"/>
        <v/>
      </c>
      <c r="L1078" s="906" t="s">
        <v>1493</v>
      </c>
      <c r="M1078" s="1480">
        <v>1061</v>
      </c>
      <c r="N1078" s="1480"/>
      <c r="O1078" s="1477"/>
      <c r="P1078" s="1477"/>
      <c r="Q1078" s="1477"/>
      <c r="R1078" s="1480" t="s">
        <v>1719</v>
      </c>
      <c r="S1078" s="1477"/>
      <c r="T1078" s="1477"/>
      <c r="U1078" s="1477"/>
      <c r="V1078" s="1477"/>
      <c r="W1078" s="1477"/>
      <c r="X1078" s="1477"/>
      <c r="Y1078" s="1477"/>
      <c r="Z1078" s="1477"/>
    </row>
    <row r="1079" spans="1:26"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80" t="s">
        <v>1498</v>
      </c>
      <c r="G1079" s="1480" t="str">
        <f>IF(T1079&lt;&gt;"","AY","")</f>
        <v/>
      </c>
      <c r="H1079" s="1480" t="s">
        <v>2063</v>
      </c>
      <c r="I1079" s="1427" t="str">
        <f t="shared" si="171"/>
        <v/>
      </c>
      <c r="J1079" s="1480" t="str">
        <f t="shared" si="182"/>
        <v/>
      </c>
      <c r="K1079" s="1480" t="str">
        <f t="shared" si="172"/>
        <v/>
      </c>
      <c r="L1079" s="907" t="s">
        <v>1498</v>
      </c>
      <c r="M1079" s="1480">
        <v>1062</v>
      </c>
      <c r="N1079" s="1480"/>
      <c r="O1079" s="1477"/>
      <c r="P1079" s="1477"/>
      <c r="Q1079" s="1477"/>
      <c r="R1079" s="1480" t="s">
        <v>1719</v>
      </c>
      <c r="S1079" s="1477"/>
      <c r="T1079" s="1480" t="str">
        <f t="shared" ref="T1079:T1081" si="184">IF(Q$1069="Yes",28,"")</f>
        <v/>
      </c>
      <c r="U1079" s="1477"/>
      <c r="V1079" s="1477"/>
      <c r="W1079" s="1477"/>
      <c r="X1079" s="1477"/>
      <c r="Y1079" s="1477"/>
      <c r="Z1079" s="1477"/>
    </row>
    <row r="1080" spans="1:26"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80"/>
      <c r="G1080" s="1480"/>
      <c r="H1080" s="1480"/>
      <c r="I1080" s="1427" t="str">
        <f t="shared" si="171"/>
        <v/>
      </c>
      <c r="J1080" s="1480" t="str">
        <f t="shared" si="182"/>
        <v/>
      </c>
      <c r="K1080" s="1480" t="str">
        <f t="shared" si="172"/>
        <v/>
      </c>
      <c r="L1080" s="906" t="s">
        <v>1143</v>
      </c>
      <c r="M1080" s="1480">
        <v>1063</v>
      </c>
      <c r="N1080" s="1480"/>
      <c r="O1080" s="1477"/>
      <c r="P1080" s="1477"/>
      <c r="Q1080" s="1477"/>
      <c r="R1080" s="1480" t="s">
        <v>1719</v>
      </c>
      <c r="S1080" s="1477"/>
      <c r="T1080" s="1477"/>
      <c r="U1080" s="1477"/>
      <c r="V1080" s="1477"/>
      <c r="W1080" s="1477"/>
      <c r="X1080" s="1477"/>
      <c r="Y1080" s="1477"/>
      <c r="Z1080" s="1477"/>
    </row>
    <row r="1081" spans="1:26"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80" t="str">
        <f>IF(T1081&lt;&gt;"","AT","")</f>
        <v/>
      </c>
      <c r="H1081" s="1480" t="s">
        <v>2063</v>
      </c>
      <c r="I1081" s="1427" t="str">
        <f t="shared" si="171"/>
        <v/>
      </c>
      <c r="J1081" s="1480" t="str">
        <f t="shared" si="182"/>
        <v/>
      </c>
      <c r="K1081" s="1480" t="str">
        <f t="shared" si="172"/>
        <v/>
      </c>
      <c r="L1081" s="906" t="s">
        <v>1418</v>
      </c>
      <c r="M1081" s="1480">
        <v>1064</v>
      </c>
      <c r="N1081" s="1480"/>
      <c r="O1081" s="1477"/>
      <c r="P1081" s="1477"/>
      <c r="Q1081" s="1477"/>
      <c r="R1081" s="1480" t="s">
        <v>1719</v>
      </c>
      <c r="S1081" s="1477"/>
      <c r="T1081" s="1480" t="str">
        <f t="shared" si="184"/>
        <v/>
      </c>
      <c r="U1081" s="1477"/>
      <c r="V1081" s="1477"/>
      <c r="W1081" s="1477"/>
      <c r="X1081" s="1477"/>
      <c r="Y1081" s="1477"/>
      <c r="Z1081" s="1477"/>
    </row>
    <row r="1082" spans="1:26"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80"/>
      <c r="G1082" s="1480"/>
      <c r="H1082" s="1480"/>
      <c r="I1082" s="1427" t="str">
        <f t="shared" si="171"/>
        <v/>
      </c>
      <c r="J1082" s="1480" t="str">
        <f t="shared" si="182"/>
        <v/>
      </c>
      <c r="K1082" s="1480" t="str">
        <f t="shared" si="172"/>
        <v/>
      </c>
      <c r="L1082" s="906" t="s">
        <v>1499</v>
      </c>
      <c r="M1082" s="1480">
        <v>1065</v>
      </c>
      <c r="N1082" s="1480"/>
      <c r="O1082" s="1477"/>
      <c r="P1082" s="1477"/>
      <c r="Q1082" s="1477"/>
      <c r="R1082" s="1480" t="s">
        <v>1719</v>
      </c>
      <c r="S1082" s="1477"/>
      <c r="T1082" s="1477"/>
      <c r="U1082" s="1477"/>
      <c r="V1082" s="1477"/>
      <c r="W1082" s="1477"/>
      <c r="X1082" s="1477"/>
      <c r="Y1082" s="1477"/>
      <c r="Z1082" s="1477"/>
    </row>
    <row r="1083" spans="1:26"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80"/>
      <c r="G1083" s="1480"/>
      <c r="H1083" s="1480"/>
      <c r="I1083" s="1427" t="str">
        <f t="shared" si="171"/>
        <v/>
      </c>
      <c r="J1083" s="1480" t="str">
        <f t="shared" si="182"/>
        <v/>
      </c>
      <c r="K1083" s="1480" t="str">
        <f t="shared" si="172"/>
        <v/>
      </c>
      <c r="L1083" s="906" t="s">
        <v>1142</v>
      </c>
      <c r="M1083" s="1480">
        <v>1066</v>
      </c>
      <c r="N1083" s="1480"/>
      <c r="O1083" s="1477"/>
      <c r="P1083" s="1477"/>
      <c r="Q1083" s="1477"/>
      <c r="R1083" s="1480" t="s">
        <v>1719</v>
      </c>
      <c r="S1083" s="1477"/>
      <c r="T1083" s="1477"/>
      <c r="U1083" s="1477"/>
      <c r="V1083" s="1477"/>
      <c r="W1083" s="1477"/>
      <c r="X1083" s="1477"/>
      <c r="Y1083" s="1477"/>
      <c r="Z1083" s="1477"/>
    </row>
    <row r="1084" spans="1:26"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80" t="s">
        <v>1510</v>
      </c>
      <c r="G1084" s="1480" t="str">
        <f>IF(T1084&lt;&gt;"","A","")</f>
        <v/>
      </c>
      <c r="H1084" s="1480" t="s">
        <v>2063</v>
      </c>
      <c r="I1084" s="1427" t="str">
        <f t="shared" si="171"/>
        <v/>
      </c>
      <c r="J1084" s="1480"/>
      <c r="K1084" s="1480" t="str">
        <f t="shared" si="172"/>
        <v/>
      </c>
      <c r="L1084" s="906" t="s">
        <v>1510</v>
      </c>
      <c r="M1084" s="1480">
        <v>1067</v>
      </c>
      <c r="N1084" s="1480"/>
      <c r="O1084" s="1477" t="s">
        <v>728</v>
      </c>
      <c r="P1084" s="1477"/>
      <c r="Q1084" s="1477"/>
      <c r="R1084" s="1480" t="s">
        <v>1107</v>
      </c>
      <c r="S1084" s="1477"/>
      <c r="T1084" s="1480" t="str">
        <f>IF(Q$1085="Yes",29,"")</f>
        <v/>
      </c>
      <c r="U1084" s="1477"/>
      <c r="V1084" s="1477"/>
      <c r="W1084" s="1477"/>
      <c r="X1084" s="1477"/>
      <c r="Y1084" s="1477"/>
      <c r="Z1084" s="1477"/>
    </row>
    <row r="1085" spans="1:26"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80"/>
      <c r="G1085" s="1480"/>
      <c r="H1085" s="1480"/>
      <c r="I1085" s="1427" t="str">
        <f t="shared" si="171"/>
        <v/>
      </c>
      <c r="J1085" s="1480" t="str">
        <f t="shared" ref="J1085:J1103" si="185">IF(M1085&lt;&gt;"",IF($Q$1085="Yes",Q$1&amp;M1085,""))</f>
        <v/>
      </c>
      <c r="K1085" s="1480" t="str">
        <f t="shared" si="172"/>
        <v/>
      </c>
      <c r="L1085" s="906" t="s">
        <v>1724</v>
      </c>
      <c r="M1085" s="1480">
        <v>1068</v>
      </c>
      <c r="N1085" s="1480"/>
      <c r="O1085" s="1477">
        <f>'Configurable Tab'!H31</f>
        <v>407</v>
      </c>
      <c r="P1085" s="1477"/>
      <c r="Q1085" s="1477" t="s">
        <v>651</v>
      </c>
      <c r="R1085" s="1480" t="s">
        <v>1107</v>
      </c>
      <c r="S1085" s="1477"/>
      <c r="T1085" s="1480" t="str">
        <f t="shared" ref="T1085:T1090" si="186">IF(Q$1085="Yes",29,"")</f>
        <v/>
      </c>
      <c r="U1085" s="1477"/>
      <c r="V1085" s="1477"/>
      <c r="W1085" s="1477"/>
      <c r="X1085" s="1477"/>
      <c r="Y1085" s="1477"/>
      <c r="Z1085" s="1477"/>
    </row>
    <row r="1086" spans="1:26"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80" t="s">
        <v>1399</v>
      </c>
      <c r="G1086" s="1480" t="str">
        <f>IF(T1086&lt;&gt;"","B","")</f>
        <v/>
      </c>
      <c r="H1086" s="1480" t="s">
        <v>2063</v>
      </c>
      <c r="I1086" s="1427" t="str">
        <f t="shared" si="171"/>
        <v/>
      </c>
      <c r="J1086" s="1480"/>
      <c r="K1086" s="1480" t="str">
        <f t="shared" si="172"/>
        <v/>
      </c>
      <c r="L1086" s="906" t="s">
        <v>1399</v>
      </c>
      <c r="M1086" s="1480">
        <v>1069</v>
      </c>
      <c r="N1086" s="1480"/>
      <c r="O1086" s="1477" t="s">
        <v>729</v>
      </c>
      <c r="P1086" s="1477"/>
      <c r="Q1086" s="1477"/>
      <c r="R1086" s="1480" t="s">
        <v>1107</v>
      </c>
      <c r="S1086" s="1477"/>
      <c r="T1086" s="1480" t="str">
        <f t="shared" si="186"/>
        <v/>
      </c>
      <c r="U1086" s="1477"/>
      <c r="V1086" s="1477"/>
      <c r="W1086" s="1477"/>
      <c r="X1086" s="1477"/>
      <c r="Y1086" s="1477"/>
      <c r="Z1086" s="1477"/>
    </row>
    <row r="1087" spans="1:26"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80" t="s">
        <v>2065</v>
      </c>
      <c r="G1087" s="1480" t="str">
        <f>IF(T1087&lt;&gt;"","I","")</f>
        <v/>
      </c>
      <c r="H1087" s="1480" t="s">
        <v>2063</v>
      </c>
      <c r="I1087" s="1427" t="str">
        <f t="shared" si="171"/>
        <v/>
      </c>
      <c r="J1087" s="1480" t="str">
        <f t="shared" si="185"/>
        <v/>
      </c>
      <c r="K1087" s="1480" t="str">
        <f t="shared" si="172"/>
        <v/>
      </c>
      <c r="L1087" s="906" t="s">
        <v>1397</v>
      </c>
      <c r="M1087" s="1480">
        <v>1070</v>
      </c>
      <c r="N1087" s="1480"/>
      <c r="O1087" s="1477">
        <f>'Configurable Tab'!I31</f>
        <v>420</v>
      </c>
      <c r="P1087" s="1477"/>
      <c r="Q1087" s="1477"/>
      <c r="R1087" s="1480" t="s">
        <v>1107</v>
      </c>
      <c r="S1087" s="1477"/>
      <c r="T1087" s="1480" t="str">
        <f t="shared" si="186"/>
        <v/>
      </c>
      <c r="U1087" s="1477"/>
      <c r="V1087" s="1477"/>
      <c r="W1087" s="1477"/>
      <c r="X1087" s="1477"/>
      <c r="Y1087" s="1477"/>
      <c r="Z1087" s="1477"/>
    </row>
    <row r="1088" spans="1:26"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80" t="s">
        <v>1398</v>
      </c>
      <c r="G1088" s="1480" t="str">
        <f>IF(T1088&lt;&gt;"",IF(Q1086="Credit Memo","J",IF(Q1086="Check","K","")),"")</f>
        <v/>
      </c>
      <c r="H1088" s="1480" t="s">
        <v>2063</v>
      </c>
      <c r="I1088" s="1427" t="str">
        <f t="shared" si="171"/>
        <v/>
      </c>
      <c r="J1088" s="1480" t="str">
        <f t="shared" si="185"/>
        <v/>
      </c>
      <c r="K1088" s="1480" t="str">
        <f t="shared" si="172"/>
        <v/>
      </c>
      <c r="L1088" s="906" t="s">
        <v>1398</v>
      </c>
      <c r="M1088" s="1480">
        <v>1071</v>
      </c>
      <c r="N1088" s="1480"/>
      <c r="O1088" s="1477" t="s">
        <v>1675</v>
      </c>
      <c r="P1088" s="1477"/>
      <c r="Q1088" s="1477"/>
      <c r="R1088" s="1480" t="s">
        <v>1107</v>
      </c>
      <c r="S1088" s="1477"/>
      <c r="T1088" s="1480" t="str">
        <f t="shared" si="186"/>
        <v/>
      </c>
      <c r="U1088" s="1477"/>
      <c r="V1088" s="1477"/>
      <c r="W1088" s="1477"/>
      <c r="X1088" s="1477"/>
      <c r="Y1088" s="1477"/>
      <c r="Z1088" s="1477"/>
    </row>
    <row r="1089" spans="1:26"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80" t="s">
        <v>1401</v>
      </c>
      <c r="G1089" s="1480" t="str">
        <f>IF(T1089&lt;&gt;"","C","")</f>
        <v/>
      </c>
      <c r="H1089" s="1480" t="s">
        <v>2063</v>
      </c>
      <c r="I1089" s="1427" t="str">
        <f t="shared" si="171"/>
        <v/>
      </c>
      <c r="J1089" s="1480"/>
      <c r="K1089" s="1480" t="str">
        <f t="shared" si="172"/>
        <v/>
      </c>
      <c r="L1089" s="906" t="s">
        <v>1401</v>
      </c>
      <c r="M1089" s="1480">
        <v>1072</v>
      </c>
      <c r="N1089" s="1480"/>
      <c r="O1089" s="1477"/>
      <c r="P1089" s="1477"/>
      <c r="Q1089" s="1477"/>
      <c r="R1089" s="1480" t="s">
        <v>1107</v>
      </c>
      <c r="S1089" s="1477"/>
      <c r="T1089" s="1480" t="str">
        <f t="shared" si="186"/>
        <v/>
      </c>
      <c r="U1089" s="1477"/>
      <c r="V1089" s="1477"/>
      <c r="W1089" s="1477"/>
      <c r="X1089" s="1477"/>
      <c r="Y1089" s="1477"/>
      <c r="Z1089" s="1477"/>
    </row>
    <row r="1090" spans="1:26"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80" t="s">
        <v>1402</v>
      </c>
      <c r="G1090" s="1480" t="str">
        <f>IF(T1090&lt;&gt;"","D","")</f>
        <v/>
      </c>
      <c r="H1090" s="1480" t="s">
        <v>2063</v>
      </c>
      <c r="I1090" s="1427" t="str">
        <f t="shared" si="171"/>
        <v/>
      </c>
      <c r="J1090" s="1480"/>
      <c r="K1090" s="1480" t="str">
        <f t="shared" si="172"/>
        <v/>
      </c>
      <c r="L1090" s="906" t="s">
        <v>1402</v>
      </c>
      <c r="M1090" s="1480">
        <v>1073</v>
      </c>
      <c r="N1090" s="1480"/>
      <c r="O1090" s="1477"/>
      <c r="P1090" s="1477"/>
      <c r="Q1090" s="1477"/>
      <c r="R1090" s="1480" t="s">
        <v>1107</v>
      </c>
      <c r="S1090" s="1477"/>
      <c r="T1090" s="1480" t="str">
        <f t="shared" si="186"/>
        <v/>
      </c>
      <c r="U1090" s="1477"/>
      <c r="V1090" s="1477"/>
      <c r="W1090" s="1477"/>
      <c r="X1090" s="1477"/>
      <c r="Y1090" s="1477"/>
      <c r="Z1090" s="1477"/>
    </row>
    <row r="1091" spans="1:26"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80" t="s">
        <v>1514</v>
      </c>
      <c r="G1091" s="1480" t="str">
        <f>IF(T1091&lt;&gt;"","AN","")</f>
        <v/>
      </c>
      <c r="H1091" s="1480" t="s">
        <v>2063</v>
      </c>
      <c r="I1091" s="1427" t="str">
        <f t="shared" si="171"/>
        <v/>
      </c>
      <c r="J1091" s="1480" t="str">
        <f t="shared" si="185"/>
        <v/>
      </c>
      <c r="K1091" s="1480" t="str">
        <f t="shared" si="172"/>
        <v/>
      </c>
      <c r="L1091" s="906" t="s">
        <v>1514</v>
      </c>
      <c r="M1091" s="1480">
        <v>1074</v>
      </c>
      <c r="N1091" s="1480"/>
      <c r="O1091" s="1477"/>
      <c r="P1091" s="1484" t="str" cm="1">
        <f t="array" aca="1" ref="P1091" ca="1">_xlfn.CONCAT("F",RIGHT(B1091, LEN(B1091) - MAX(IF(ISNUMBER(MID(B1091, ROW(INDIRECT("1:"&amp;LEN(B1091))), 1) *1)=FALSE, ROW(INDIRECT("1:"&amp;LEN(B1091))), 0))))</f>
        <v>F417</v>
      </c>
      <c r="Q1091" s="1480" t="str" cm="1">
        <f t="array" aca="1" ref="Q1091" ca="1">_xlfn.CONCAT("E",RIGHT(C1091, LEN(C1091) - MAX(IF(ISNUMBER(MID(C1091, ROW(INDIRECT("1:"&amp;LEN(C1091))), 1) *1)=FALSE, ROW(INDIRECT("1:"&amp;LEN(C1091))), 0))))</f>
        <v>E417</v>
      </c>
      <c r="R1091" s="1480" t="s">
        <v>1107</v>
      </c>
      <c r="S1091" s="1477"/>
      <c r="T1091" s="1480" t="str">
        <f>IF(Q$1085="Yes",29,"")</f>
        <v/>
      </c>
      <c r="U1091" s="1477"/>
      <c r="V1091" s="1477"/>
      <c r="W1091" s="1477"/>
      <c r="X1091" s="1477"/>
      <c r="Y1091" s="1477"/>
      <c r="Z1091" s="1477"/>
    </row>
    <row r="1092" spans="1:26"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80" t="s">
        <v>1511</v>
      </c>
      <c r="G1092" s="1480" t="str">
        <f>IF(T1092&lt;&gt;"","AL","")</f>
        <v/>
      </c>
      <c r="H1092" s="1480" t="s">
        <v>2063</v>
      </c>
      <c r="I1092" s="1427" t="str">
        <f t="shared" ref="I1092:I1155" si="187">IF(J1092&lt;&gt;"",A1092,"")</f>
        <v/>
      </c>
      <c r="J1092" s="1480" t="str">
        <f t="shared" si="185"/>
        <v/>
      </c>
      <c r="K1092" s="1480" t="str">
        <f t="shared" ref="K1092:K1155" si="188">IF(J1092&lt;&gt;"",E1092,"")</f>
        <v/>
      </c>
      <c r="L1092" s="906" t="s">
        <v>1511</v>
      </c>
      <c r="M1092" s="1480">
        <v>1075</v>
      </c>
      <c r="N1092" s="1480"/>
      <c r="O1092" s="1477"/>
      <c r="P1092" s="1477"/>
      <c r="Q1092" s="1477"/>
      <c r="R1092" s="1480" t="s">
        <v>1107</v>
      </c>
      <c r="S1092" s="1477"/>
      <c r="T1092" s="1480" t="str">
        <f>IF(Q$1085="Yes",29,"")</f>
        <v/>
      </c>
      <c r="U1092" s="1477"/>
      <c r="V1092" s="1477"/>
      <c r="W1092" s="1477"/>
      <c r="X1092" s="1477"/>
      <c r="Y1092" s="1477"/>
      <c r="Z1092" s="1477"/>
    </row>
    <row r="1093" spans="1:26"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80"/>
      <c r="G1093" s="1480"/>
      <c r="H1093" s="1480"/>
      <c r="I1093" s="1427" t="str">
        <f t="shared" si="187"/>
        <v/>
      </c>
      <c r="J1093" s="1480" t="str">
        <f t="shared" si="185"/>
        <v/>
      </c>
      <c r="K1093" s="1480" t="str">
        <f t="shared" si="188"/>
        <v/>
      </c>
      <c r="L1093" s="906" t="s">
        <v>1412</v>
      </c>
      <c r="M1093" s="1480">
        <v>1076</v>
      </c>
      <c r="N1093" s="1480"/>
      <c r="O1093" s="1477"/>
      <c r="P1093" s="1477"/>
      <c r="Q1093" s="1477"/>
      <c r="R1093" s="1480" t="s">
        <v>1107</v>
      </c>
      <c r="S1093" s="1477"/>
      <c r="T1093" s="1477"/>
      <c r="U1093" s="1477"/>
      <c r="V1093" s="1477"/>
      <c r="W1093" s="1477"/>
      <c r="X1093" s="1477"/>
      <c r="Y1093" s="1477"/>
      <c r="Z1093" s="1477"/>
    </row>
    <row r="1094" spans="1:26"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80" t="s">
        <v>1510</v>
      </c>
      <c r="G1094" s="1480" t="str">
        <f>IF(T1094&lt;&gt;"","A","")</f>
        <v/>
      </c>
      <c r="H1094" s="1480" t="s">
        <v>2063</v>
      </c>
      <c r="I1094" s="1427" t="str">
        <f t="shared" si="187"/>
        <v/>
      </c>
      <c r="J1094" s="1480"/>
      <c r="K1094" s="1480" t="str">
        <f t="shared" si="188"/>
        <v/>
      </c>
      <c r="L1094" s="906" t="s">
        <v>1510</v>
      </c>
      <c r="M1094" s="1480">
        <v>1077</v>
      </c>
      <c r="N1094" s="1480"/>
      <c r="O1094" s="1477" t="s">
        <v>728</v>
      </c>
      <c r="P1094" s="1477"/>
      <c r="Q1094" s="1477"/>
      <c r="R1094" s="1480" t="s">
        <v>1107</v>
      </c>
      <c r="S1094" s="1477"/>
      <c r="T1094" s="1480" t="str">
        <f>IF(Q$1095="Yes",30,"")</f>
        <v/>
      </c>
      <c r="U1094" s="1477"/>
      <c r="V1094" s="1477"/>
      <c r="W1094" s="1477"/>
      <c r="X1094" s="1477"/>
      <c r="Y1094" s="1477"/>
      <c r="Z1094" s="1477"/>
    </row>
    <row r="1095" spans="1:26"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80"/>
      <c r="G1095" s="1480"/>
      <c r="H1095" s="1480"/>
      <c r="I1095" s="1427" t="str">
        <f t="shared" si="187"/>
        <v/>
      </c>
      <c r="J1095" s="1480" t="str">
        <f t="shared" si="185"/>
        <v/>
      </c>
      <c r="K1095" s="1480" t="str">
        <f t="shared" si="188"/>
        <v/>
      </c>
      <c r="L1095" s="906" t="s">
        <v>1724</v>
      </c>
      <c r="M1095" s="1480">
        <v>1078</v>
      </c>
      <c r="N1095" s="1480"/>
      <c r="O1095" s="1477">
        <f>'Configurable Tab'!H32</f>
        <v>421</v>
      </c>
      <c r="P1095" s="1477"/>
      <c r="Q1095" s="1477" t="s">
        <v>651</v>
      </c>
      <c r="R1095" s="1480" t="s">
        <v>1107</v>
      </c>
      <c r="S1095" s="1477"/>
      <c r="T1095" s="1480" t="str">
        <f t="shared" ref="T1095:T1100" si="189">IF(Q$1095="Yes",30,"")</f>
        <v/>
      </c>
      <c r="U1095" s="1477"/>
      <c r="V1095" s="1477"/>
      <c r="W1095" s="1477"/>
      <c r="X1095" s="1477"/>
      <c r="Y1095" s="1477"/>
      <c r="Z1095" s="1477"/>
    </row>
    <row r="1096" spans="1:26"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80" t="s">
        <v>1399</v>
      </c>
      <c r="G1096" s="1480" t="str">
        <f>IF(T1096&lt;&gt;"","B","")</f>
        <v/>
      </c>
      <c r="H1096" s="1480" t="s">
        <v>2063</v>
      </c>
      <c r="I1096" s="1427" t="str">
        <f t="shared" si="187"/>
        <v/>
      </c>
      <c r="J1096" s="1480"/>
      <c r="K1096" s="1480" t="str">
        <f t="shared" si="188"/>
        <v/>
      </c>
      <c r="L1096" s="906" t="s">
        <v>1399</v>
      </c>
      <c r="M1096" s="1480">
        <v>1079</v>
      </c>
      <c r="N1096" s="1480"/>
      <c r="O1096" s="1477" t="s">
        <v>729</v>
      </c>
      <c r="P1096" s="1477"/>
      <c r="Q1096" s="1477"/>
      <c r="R1096" s="1480" t="s">
        <v>1107</v>
      </c>
      <c r="S1096" s="1477"/>
      <c r="T1096" s="1480" t="str">
        <f t="shared" si="189"/>
        <v/>
      </c>
      <c r="U1096" s="1477"/>
      <c r="V1096" s="1477"/>
      <c r="W1096" s="1477"/>
      <c r="X1096" s="1477"/>
      <c r="Y1096" s="1477"/>
      <c r="Z1096" s="1477"/>
    </row>
    <row r="1097" spans="1:26"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80" t="s">
        <v>2065</v>
      </c>
      <c r="G1097" s="1480" t="str">
        <f>IF(T1097&lt;&gt;"","I","")</f>
        <v/>
      </c>
      <c r="H1097" s="1480" t="s">
        <v>2063</v>
      </c>
      <c r="I1097" s="1427" t="str">
        <f t="shared" si="187"/>
        <v/>
      </c>
      <c r="J1097" s="1480" t="str">
        <f t="shared" si="185"/>
        <v/>
      </c>
      <c r="K1097" s="1480" t="str">
        <f t="shared" si="188"/>
        <v/>
      </c>
      <c r="L1097" s="906" t="s">
        <v>1397</v>
      </c>
      <c r="M1097" s="1480">
        <v>1080</v>
      </c>
      <c r="N1097" s="1480"/>
      <c r="O1097" s="1477">
        <f>'Configurable Tab'!I32</f>
        <v>434</v>
      </c>
      <c r="P1097" s="1477"/>
      <c r="Q1097" s="1477"/>
      <c r="R1097" s="1480" t="s">
        <v>1107</v>
      </c>
      <c r="S1097" s="1477"/>
      <c r="T1097" s="1480" t="str">
        <f t="shared" si="189"/>
        <v/>
      </c>
      <c r="U1097" s="1477"/>
      <c r="V1097" s="1477"/>
      <c r="W1097" s="1477"/>
      <c r="X1097" s="1477"/>
      <c r="Y1097" s="1477"/>
      <c r="Z1097" s="1477"/>
    </row>
    <row r="1098" spans="1:26"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80" t="s">
        <v>1398</v>
      </c>
      <c r="G1098" s="1480" t="str">
        <f>IF(T1098&lt;&gt;"",IF(Q1096="Credit Memo","J",IF(Q1096="Check","K","")),"")</f>
        <v/>
      </c>
      <c r="H1098" s="1480" t="s">
        <v>2063</v>
      </c>
      <c r="I1098" s="1427" t="str">
        <f t="shared" si="187"/>
        <v/>
      </c>
      <c r="J1098" s="1480" t="str">
        <f t="shared" si="185"/>
        <v/>
      </c>
      <c r="K1098" s="1480" t="str">
        <f t="shared" si="188"/>
        <v/>
      </c>
      <c r="L1098" s="906" t="s">
        <v>1398</v>
      </c>
      <c r="M1098" s="1480">
        <v>1081</v>
      </c>
      <c r="N1098" s="1480"/>
      <c r="O1098" s="1477" t="s">
        <v>1676</v>
      </c>
      <c r="P1098" s="1477"/>
      <c r="Q1098" s="1477"/>
      <c r="R1098" s="1480" t="s">
        <v>1107</v>
      </c>
      <c r="S1098" s="1477"/>
      <c r="T1098" s="1480" t="str">
        <f t="shared" si="189"/>
        <v/>
      </c>
      <c r="U1098" s="1477"/>
      <c r="V1098" s="1477"/>
      <c r="W1098" s="1477"/>
      <c r="X1098" s="1477"/>
      <c r="Y1098" s="1477"/>
      <c r="Z1098" s="1477"/>
    </row>
    <row r="1099" spans="1:26"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80" t="s">
        <v>1401</v>
      </c>
      <c r="G1099" s="1480" t="str">
        <f>IF(T1099&lt;&gt;"","C","")</f>
        <v/>
      </c>
      <c r="H1099" s="1480" t="s">
        <v>2063</v>
      </c>
      <c r="I1099" s="1427" t="str">
        <f t="shared" si="187"/>
        <v/>
      </c>
      <c r="J1099" s="1480"/>
      <c r="K1099" s="1480" t="str">
        <f t="shared" si="188"/>
        <v/>
      </c>
      <c r="L1099" s="906" t="s">
        <v>1401</v>
      </c>
      <c r="M1099" s="1480">
        <v>1082</v>
      </c>
      <c r="N1099" s="1480"/>
      <c r="O1099" s="1477"/>
      <c r="P1099" s="1477"/>
      <c r="Q1099" s="1477"/>
      <c r="R1099" s="1480" t="s">
        <v>1107</v>
      </c>
      <c r="S1099" s="1477"/>
      <c r="T1099" s="1480" t="str">
        <f t="shared" si="189"/>
        <v/>
      </c>
      <c r="U1099" s="1477"/>
      <c r="V1099" s="1477"/>
      <c r="W1099" s="1477"/>
      <c r="X1099" s="1477"/>
      <c r="Y1099" s="1477"/>
      <c r="Z1099" s="1477"/>
    </row>
    <row r="1100" spans="1:26"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80" t="s">
        <v>1402</v>
      </c>
      <c r="G1100" s="1480" t="str">
        <f>IF(T1100&lt;&gt;"","D","")</f>
        <v/>
      </c>
      <c r="H1100" s="1480" t="s">
        <v>2063</v>
      </c>
      <c r="I1100" s="1427" t="str">
        <f t="shared" si="187"/>
        <v/>
      </c>
      <c r="J1100" s="1480"/>
      <c r="K1100" s="1480" t="str">
        <f t="shared" si="188"/>
        <v/>
      </c>
      <c r="L1100" s="906" t="s">
        <v>1402</v>
      </c>
      <c r="M1100" s="1480">
        <v>1083</v>
      </c>
      <c r="N1100" s="1480"/>
      <c r="O1100" s="1477"/>
      <c r="P1100" s="1477"/>
      <c r="Q1100" s="1477"/>
      <c r="R1100" s="1480" t="s">
        <v>1107</v>
      </c>
      <c r="S1100" s="1477"/>
      <c r="T1100" s="1480" t="str">
        <f t="shared" si="189"/>
        <v/>
      </c>
      <c r="U1100" s="1477"/>
      <c r="V1100" s="1477"/>
      <c r="W1100" s="1477"/>
      <c r="X1100" s="1477"/>
      <c r="Y1100" s="1477"/>
      <c r="Z1100" s="1477"/>
    </row>
    <row r="1101" spans="1:26"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80" t="s">
        <v>1514</v>
      </c>
      <c r="G1101" s="1480" t="str">
        <f>IF(T1101&lt;&gt;"","AN","")</f>
        <v/>
      </c>
      <c r="H1101" s="1480" t="s">
        <v>2063</v>
      </c>
      <c r="I1101" s="1427" t="str">
        <f t="shared" si="187"/>
        <v/>
      </c>
      <c r="J1101" s="1480" t="str">
        <f t="shared" si="185"/>
        <v/>
      </c>
      <c r="K1101" s="1480" t="str">
        <f t="shared" si="188"/>
        <v/>
      </c>
      <c r="L1101" s="906" t="s">
        <v>1514</v>
      </c>
      <c r="M1101" s="1480">
        <v>1084</v>
      </c>
      <c r="N1101" s="1480"/>
      <c r="O1101" s="1477"/>
      <c r="P1101" s="1484" t="str" cm="1">
        <f t="array" aca="1" ref="P1101" ca="1">_xlfn.CONCAT("F",RIGHT(B1101, LEN(B1101) - MAX(IF(ISNUMBER(MID(B1101, ROW(INDIRECT("1:"&amp;LEN(B1101))), 1) *1)=FALSE, ROW(INDIRECT("1:"&amp;LEN(B1101))), 0))))</f>
        <v>F431</v>
      </c>
      <c r="Q1101" s="1480" t="str" cm="1">
        <f t="array" aca="1" ref="Q1101" ca="1">_xlfn.CONCAT("E",RIGHT(C1101, LEN(C1101) - MAX(IF(ISNUMBER(MID(C1101, ROW(INDIRECT("1:"&amp;LEN(C1101))), 1) *1)=FALSE, ROW(INDIRECT("1:"&amp;LEN(C1101))), 0))))</f>
        <v>E431</v>
      </c>
      <c r="R1101" s="1480" t="s">
        <v>1107</v>
      </c>
      <c r="S1101" s="1477"/>
      <c r="T1101" s="1480" t="str">
        <f>IF(Q$1095="Yes",30,"")</f>
        <v/>
      </c>
      <c r="U1101" s="1477"/>
      <c r="V1101" s="1477"/>
      <c r="W1101" s="1477"/>
      <c r="X1101" s="1477"/>
      <c r="Y1101" s="1477"/>
      <c r="Z1101" s="1477"/>
    </row>
    <row r="1102" spans="1:26"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80" t="s">
        <v>1511</v>
      </c>
      <c r="G1102" s="1480" t="str">
        <f>IF(T1102&lt;&gt;"","AL","")</f>
        <v/>
      </c>
      <c r="H1102" s="1480" t="s">
        <v>2063</v>
      </c>
      <c r="I1102" s="1427" t="str">
        <f t="shared" si="187"/>
        <v/>
      </c>
      <c r="J1102" s="1480" t="str">
        <f t="shared" si="185"/>
        <v/>
      </c>
      <c r="K1102" s="1480" t="str">
        <f t="shared" si="188"/>
        <v/>
      </c>
      <c r="L1102" s="906" t="s">
        <v>1511</v>
      </c>
      <c r="M1102" s="1480">
        <v>1085</v>
      </c>
      <c r="N1102" s="1480"/>
      <c r="O1102" s="1477"/>
      <c r="P1102" s="1477"/>
      <c r="Q1102" s="1477"/>
      <c r="R1102" s="1480" t="s">
        <v>1107</v>
      </c>
      <c r="S1102" s="1477"/>
      <c r="T1102" s="1480" t="str">
        <f>IF(Q$1095="Yes",30,"")</f>
        <v/>
      </c>
      <c r="U1102" s="1477"/>
      <c r="V1102" s="1477"/>
      <c r="W1102" s="1477"/>
      <c r="X1102" s="1477"/>
      <c r="Y1102" s="1477"/>
      <c r="Z1102" s="1477"/>
    </row>
    <row r="1103" spans="1:26"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87"/>
        <v/>
      </c>
      <c r="J1103" s="1480" t="str">
        <f t="shared" si="185"/>
        <v/>
      </c>
      <c r="K1103" s="1480" t="str">
        <f t="shared" si="188"/>
        <v/>
      </c>
      <c r="L1103" s="906" t="s">
        <v>1412</v>
      </c>
      <c r="M1103" s="1480">
        <v>1086</v>
      </c>
      <c r="N1103" s="1480"/>
      <c r="O1103" s="1477"/>
      <c r="P1103" s="1477"/>
      <c r="Q1103" s="1477"/>
      <c r="R1103" s="1480" t="s">
        <v>1107</v>
      </c>
      <c r="S1103" s="1477"/>
      <c r="T1103" s="1477"/>
      <c r="U1103" s="1477"/>
      <c r="V1103" s="1477"/>
      <c r="W1103" s="1477"/>
      <c r="X1103" s="1477"/>
      <c r="Y1103" s="1477"/>
      <c r="Z1103" s="1477"/>
    </row>
    <row r="1104" spans="1:26"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80" t="s">
        <v>1510</v>
      </c>
      <c r="G1104" s="1480" t="str">
        <f>IF(T1104&lt;&gt;"","A","")</f>
        <v>A</v>
      </c>
      <c r="H1104" s="1480" t="s">
        <v>2063</v>
      </c>
      <c r="I1104" s="1427" t="str">
        <f t="shared" si="187"/>
        <v/>
      </c>
      <c r="J1104" s="1480"/>
      <c r="K1104" s="1480" t="str">
        <f t="shared" si="188"/>
        <v/>
      </c>
      <c r="L1104" s="906" t="s">
        <v>1510</v>
      </c>
      <c r="M1104" s="1480">
        <v>1087</v>
      </c>
      <c r="N1104" s="1480"/>
      <c r="O1104" s="1477" t="s">
        <v>728</v>
      </c>
      <c r="P1104" s="1477"/>
      <c r="Q1104" s="1477"/>
      <c r="R1104" s="1480" t="s">
        <v>1107</v>
      </c>
      <c r="S1104" s="1477"/>
      <c r="T1104" s="1480">
        <f>IF(Q$1105="Yes",31,"")</f>
        <v>31</v>
      </c>
      <c r="U1104" s="1477"/>
      <c r="V1104" s="1477"/>
      <c r="W1104" s="1477"/>
      <c r="X1104" s="1477"/>
      <c r="Y1104" s="1477"/>
      <c r="Z1104" s="1477"/>
    </row>
    <row r="1105" spans="1:26"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80"/>
      <c r="G1105" s="1480"/>
      <c r="H1105" s="1480"/>
      <c r="I1105" s="1427" t="str">
        <f t="shared" si="187"/>
        <v>Offer This Incentive?</v>
      </c>
      <c r="J1105" s="1480" t="str">
        <f t="shared" ref="J1105:J1132" si="190">IF(M1105&lt;&gt;"",IF($Q$1105="Yes",Q$1&amp;M1105,""))</f>
        <v>F1088</v>
      </c>
      <c r="K1105" s="1480" t="str">
        <f t="shared" si="188"/>
        <v>Incentives Worksheet</v>
      </c>
      <c r="L1105" s="906" t="s">
        <v>1724</v>
      </c>
      <c r="M1105" s="1480">
        <v>1088</v>
      </c>
      <c r="N1105" s="1480"/>
      <c r="O1105" s="1477">
        <f>'Configurable Tab'!H33</f>
        <v>435</v>
      </c>
      <c r="P1105" s="1477"/>
      <c r="Q1105" s="1477" t="s">
        <v>649</v>
      </c>
      <c r="R1105" s="1480" t="s">
        <v>1107</v>
      </c>
      <c r="S1105" s="1477"/>
      <c r="T1105" s="1480">
        <f t="shared" ref="T1105:T1110" si="191">IF(Q$1105="Yes",31,"")</f>
        <v>31</v>
      </c>
      <c r="U1105" s="1477"/>
      <c r="V1105" s="1477"/>
      <c r="W1105" s="1477"/>
      <c r="X1105" s="1477"/>
      <c r="Y1105" s="1477"/>
      <c r="Z1105" s="1477"/>
    </row>
    <row r="1106" spans="1:26"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80" t="s">
        <v>1399</v>
      </c>
      <c r="G1106" s="1480" t="str">
        <f>IF(T1106&lt;&gt;"","B","")</f>
        <v>B</v>
      </c>
      <c r="H1106" s="1480" t="s">
        <v>2063</v>
      </c>
      <c r="I1106" s="1427" t="str">
        <f t="shared" si="187"/>
        <v/>
      </c>
      <c r="J1106" s="1480"/>
      <c r="K1106" s="1480" t="str">
        <f t="shared" si="188"/>
        <v/>
      </c>
      <c r="L1106" s="906" t="s">
        <v>1399</v>
      </c>
      <c r="M1106" s="1480">
        <v>1089</v>
      </c>
      <c r="N1106" s="1480"/>
      <c r="O1106" s="1477" t="s">
        <v>729</v>
      </c>
      <c r="P1106" s="1477"/>
      <c r="Q1106" s="1477"/>
      <c r="R1106" s="1480" t="s">
        <v>1107</v>
      </c>
      <c r="S1106" s="1477"/>
      <c r="T1106" s="1480">
        <f t="shared" si="191"/>
        <v>31</v>
      </c>
      <c r="U1106" s="1477"/>
      <c r="V1106" s="1477"/>
      <c r="W1106" s="1477"/>
      <c r="X1106" s="1477"/>
      <c r="Y1106" s="1477"/>
      <c r="Z1106" s="1477"/>
    </row>
    <row r="1107" spans="1:26"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80" t="s">
        <v>2064</v>
      </c>
      <c r="G1107" s="1480" t="str">
        <f>IF(T1107&lt;&gt;"","E","")</f>
        <v>E</v>
      </c>
      <c r="H1107" s="1480" t="s">
        <v>2063</v>
      </c>
      <c r="I1107" s="1427" t="str">
        <f t="shared" si="187"/>
        <v>Incentive Period</v>
      </c>
      <c r="J1107" s="1480" t="str">
        <f t="shared" si="190"/>
        <v>F1090</v>
      </c>
      <c r="K1107" s="1480" t="str">
        <f t="shared" si="188"/>
        <v>Incentives Worksheet</v>
      </c>
      <c r="L1107" s="906" t="s">
        <v>1396</v>
      </c>
      <c r="M1107" s="1480">
        <v>1090</v>
      </c>
      <c r="N1107" s="1480"/>
      <c r="O1107" s="1477">
        <f>'Configurable Tab'!I33</f>
        <v>448</v>
      </c>
      <c r="P1107" s="1477"/>
      <c r="Q1107" s="1477"/>
      <c r="R1107" s="1480" t="s">
        <v>1107</v>
      </c>
      <c r="S1107" s="1477"/>
      <c r="T1107" s="1480">
        <f t="shared" si="191"/>
        <v>31</v>
      </c>
      <c r="U1107" s="1477"/>
      <c r="V1107" s="1477"/>
      <c r="W1107" s="1477"/>
      <c r="X1107" s="1477"/>
      <c r="Y1107" s="1477"/>
      <c r="Z1107" s="1477"/>
    </row>
    <row r="1108" spans="1:26"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80" t="s">
        <v>2065</v>
      </c>
      <c r="G1108" s="1480" t="str">
        <f>IF(T1108&lt;&gt;"","I","")</f>
        <v>I</v>
      </c>
      <c r="H1108" s="1480" t="s">
        <v>2063</v>
      </c>
      <c r="I1108" s="1427" t="str">
        <f t="shared" si="187"/>
        <v>Payment Method</v>
      </c>
      <c r="J1108" s="1480" t="str">
        <f t="shared" si="190"/>
        <v>F1091</v>
      </c>
      <c r="K1108" s="1480" t="str">
        <f t="shared" si="188"/>
        <v>Incentives Worksheet</v>
      </c>
      <c r="L1108" s="906" t="s">
        <v>1397</v>
      </c>
      <c r="M1108" s="1480">
        <v>1091</v>
      </c>
      <c r="N1108" s="1480"/>
      <c r="O1108" s="1477" t="s">
        <v>1677</v>
      </c>
      <c r="P1108" s="1477"/>
      <c r="Q1108" s="1477" t="s">
        <v>484</v>
      </c>
      <c r="R1108" s="1480" t="s">
        <v>1107</v>
      </c>
      <c r="S1108" s="1477"/>
      <c r="T1108" s="1480">
        <f t="shared" si="191"/>
        <v>31</v>
      </c>
      <c r="U1108" s="1477"/>
      <c r="V1108" s="1477"/>
      <c r="W1108" s="1477"/>
      <c r="X1108" s="1477"/>
      <c r="Y1108" s="1477"/>
      <c r="Z1108" s="1477"/>
    </row>
    <row r="1109" spans="1:26"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80" t="s">
        <v>1398</v>
      </c>
      <c r="G1109" s="1480" t="str">
        <f>IF(T1109&lt;&gt;"",IF(Q1107="Credit Memo","J",IF(Q1107="Check","K","")),"")</f>
        <v/>
      </c>
      <c r="H1109" s="1480" t="s">
        <v>2063</v>
      </c>
      <c r="I1109" s="1427" t="str">
        <f t="shared" si="187"/>
        <v>AP/AR Vendor Number</v>
      </c>
      <c r="J1109" s="1480" t="str">
        <f t="shared" si="190"/>
        <v>F1092</v>
      </c>
      <c r="K1109" s="1480" t="str">
        <f t="shared" si="188"/>
        <v>Incentives Worksheet</v>
      </c>
      <c r="L1109" s="906" t="s">
        <v>1398</v>
      </c>
      <c r="M1109" s="1480">
        <v>1092</v>
      </c>
      <c r="N1109" s="1480"/>
      <c r="O1109" s="1477"/>
      <c r="P1109" s="1477"/>
      <c r="Q1109" s="1477"/>
      <c r="R1109" s="1480" t="s">
        <v>1107</v>
      </c>
      <c r="S1109" s="1477"/>
      <c r="T1109" s="1480">
        <f t="shared" si="191"/>
        <v>31</v>
      </c>
      <c r="U1109" s="1477"/>
      <c r="V1109" s="1477"/>
      <c r="W1109" s="1477"/>
      <c r="X1109" s="1477"/>
      <c r="Y1109" s="1477"/>
      <c r="Z1109" s="1477"/>
    </row>
    <row r="1110" spans="1:26"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80" t="s">
        <v>2068</v>
      </c>
      <c r="G1110" s="1480" t="str">
        <f>IF(T1110&lt;&gt;"","G","")</f>
        <v>G</v>
      </c>
      <c r="H1110" s="1480" t="s">
        <v>2063</v>
      </c>
      <c r="I1110" s="1427" t="str">
        <f t="shared" si="187"/>
        <v>Incentive Calendar</v>
      </c>
      <c r="J1110" s="1480" t="str">
        <f t="shared" si="190"/>
        <v>F1093</v>
      </c>
      <c r="K1110" s="1480" t="str">
        <f t="shared" si="188"/>
        <v>Incentives Worksheet</v>
      </c>
      <c r="L1110" s="906" t="s">
        <v>1506</v>
      </c>
      <c r="M1110" s="1480">
        <v>1093</v>
      </c>
      <c r="N1110" s="1480"/>
      <c r="O1110" s="1477"/>
      <c r="P1110" s="1477"/>
      <c r="Q1110" s="1477"/>
      <c r="R1110" s="1480" t="s">
        <v>1107</v>
      </c>
      <c r="S1110" s="1477"/>
      <c r="T1110" s="1480">
        <f t="shared" si="191"/>
        <v>31</v>
      </c>
      <c r="U1110" s="1477"/>
      <c r="V1110" s="1477"/>
      <c r="W1110" s="1477"/>
      <c r="X1110" s="1477"/>
      <c r="Y1110" s="1477"/>
      <c r="Z1110" s="1477"/>
    </row>
    <row r="1111" spans="1:26"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80" t="str">
        <f>IF(T1111&lt;&gt;"","AW","")</f>
        <v/>
      </c>
      <c r="H1111" s="1480" t="s">
        <v>2063</v>
      </c>
      <c r="I1111" s="1427" t="str">
        <f t="shared" si="187"/>
        <v>Post to GL Payment Method Flag</v>
      </c>
      <c r="J1111" s="1480" t="str">
        <f t="shared" si="190"/>
        <v>F1094</v>
      </c>
      <c r="K1111" s="1480" t="str">
        <f t="shared" si="188"/>
        <v>Incentives Worksheet</v>
      </c>
      <c r="L1111" s="906" t="s">
        <v>1507</v>
      </c>
      <c r="M1111" s="1480">
        <v>1094</v>
      </c>
      <c r="N1111" s="1480"/>
      <c r="O1111" s="1477"/>
      <c r="P1111" s="1477"/>
      <c r="Q1111" s="1477"/>
      <c r="R1111" s="1480" t="s">
        <v>1107</v>
      </c>
      <c r="S1111" s="1477"/>
      <c r="T1111" s="1477"/>
      <c r="U1111" s="1477"/>
      <c r="V1111" s="1477"/>
      <c r="W1111" s="1477"/>
      <c r="X1111" s="1477"/>
      <c r="Y1111" s="1477"/>
      <c r="Z1111" s="1477"/>
    </row>
    <row r="1112" spans="1:26"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80" t="s">
        <v>1401</v>
      </c>
      <c r="G1112" s="1480" t="str">
        <f>IF(T1112&lt;&gt;"","C","")</f>
        <v>C</v>
      </c>
      <c r="H1112" s="1480" t="s">
        <v>2063</v>
      </c>
      <c r="I1112" s="1427" t="str">
        <f t="shared" si="187"/>
        <v/>
      </c>
      <c r="J1112" s="1480"/>
      <c r="K1112" s="1480" t="str">
        <f t="shared" si="188"/>
        <v/>
      </c>
      <c r="L1112" s="906" t="s">
        <v>1401</v>
      </c>
      <c r="M1112" s="1480">
        <v>1095</v>
      </c>
      <c r="N1112" s="1480"/>
      <c r="O1112" s="1477"/>
      <c r="P1112" s="1477"/>
      <c r="Q1112" s="1477"/>
      <c r="R1112" s="1480" t="s">
        <v>1107</v>
      </c>
      <c r="S1112" s="1477"/>
      <c r="T1112" s="1480">
        <f t="shared" ref="T1112:T1113" si="192">IF(Q$1105="Yes",31,"")</f>
        <v>31</v>
      </c>
      <c r="U1112" s="1477"/>
      <c r="V1112" s="1477"/>
      <c r="W1112" s="1477"/>
      <c r="X1112" s="1477"/>
      <c r="Y1112" s="1477"/>
      <c r="Z1112" s="1477"/>
    </row>
    <row r="1113" spans="1:26"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80" t="s">
        <v>1402</v>
      </c>
      <c r="G1113" s="1480" t="str">
        <f>IF(T1113&lt;&gt;"","D","")</f>
        <v>D</v>
      </c>
      <c r="H1113" s="1480" t="s">
        <v>2063</v>
      </c>
      <c r="I1113" s="1427" t="str">
        <f t="shared" si="187"/>
        <v/>
      </c>
      <c r="J1113" s="1480"/>
      <c r="K1113" s="1480" t="str">
        <f t="shared" si="188"/>
        <v/>
      </c>
      <c r="L1113" s="906" t="s">
        <v>1402</v>
      </c>
      <c r="M1113" s="1480">
        <v>1096</v>
      </c>
      <c r="N1113" s="1480"/>
      <c r="O1113" s="1477"/>
      <c r="P1113" s="1477"/>
      <c r="Q1113" s="1477"/>
      <c r="R1113" s="1480" t="s">
        <v>1107</v>
      </c>
      <c r="S1113" s="1477"/>
      <c r="T1113" s="1480">
        <f t="shared" si="192"/>
        <v>31</v>
      </c>
      <c r="U1113" s="1477"/>
      <c r="V1113" s="1477"/>
      <c r="W1113" s="1477"/>
      <c r="X1113" s="1477"/>
      <c r="Y1113" s="1477"/>
      <c r="Z1113" s="1477"/>
    </row>
    <row r="1114" spans="1:26"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80" t="s">
        <v>1514</v>
      </c>
      <c r="G1114" s="1480" t="str">
        <f>IF(T1114&lt;&gt;"","AN","")</f>
        <v>AN</v>
      </c>
      <c r="H1114" s="1480" t="s">
        <v>2063</v>
      </c>
      <c r="I1114" s="1427" t="str">
        <f t="shared" si="187"/>
        <v>Incentive Dates Match Agreement Dates Flag</v>
      </c>
      <c r="J1114" s="1480" t="str">
        <f t="shared" si="190"/>
        <v>F1097</v>
      </c>
      <c r="K1114" s="1480" t="str">
        <f t="shared" si="188"/>
        <v>Incentives Worksheet</v>
      </c>
      <c r="L1114" s="906" t="s">
        <v>1514</v>
      </c>
      <c r="M1114" s="1480">
        <v>1097</v>
      </c>
      <c r="N1114" s="1480"/>
      <c r="O1114" s="1477"/>
      <c r="P1114" s="1484" t="str" cm="1">
        <f t="array" aca="1" ref="P1114" ca="1">_xlfn.CONCAT("F",RIGHT(B1114, LEN(B1114) - MAX(IF(ISNUMBER(MID(B1114, ROW(INDIRECT("1:"&amp;LEN(B1114))), 1) *1)=FALSE, ROW(INDIRECT("1:"&amp;LEN(B1114))), 0))))</f>
        <v>F445</v>
      </c>
      <c r="Q1114" s="1480" t="str" cm="1">
        <f t="array" aca="1" ref="Q1114" ca="1">_xlfn.CONCAT("E",RIGHT(C1114, LEN(C1114) - MAX(IF(ISNUMBER(MID(C1114, ROW(INDIRECT("1:"&amp;LEN(C1114))), 1) *1)=FALSE, ROW(INDIRECT("1:"&amp;LEN(C1114))), 0))))</f>
        <v>E445</v>
      </c>
      <c r="R1114" s="1480" t="s">
        <v>1107</v>
      </c>
      <c r="S1114" s="1477"/>
      <c r="T1114" s="1480">
        <f>IF(Q$1105="Yes",31,"")</f>
        <v>31</v>
      </c>
      <c r="U1114" s="1477"/>
      <c r="V1114" s="1477"/>
      <c r="W1114" s="1477"/>
      <c r="X1114" s="1477"/>
      <c r="Y1114" s="1477"/>
      <c r="Z1114" s="1477"/>
    </row>
    <row r="1115" spans="1:26"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80" t="s">
        <v>1511</v>
      </c>
      <c r="G1115" s="1480" t="str">
        <f>IF(T1115&lt;&gt;"","AL","")</f>
        <v>AL</v>
      </c>
      <c r="H1115" s="1480" t="s">
        <v>2063</v>
      </c>
      <c r="I1115" s="1427" t="str">
        <f t="shared" si="187"/>
        <v>Include All Customers Flag</v>
      </c>
      <c r="J1115" s="1480" t="str">
        <f t="shared" si="190"/>
        <v>F1098</v>
      </c>
      <c r="K1115" s="1480" t="str">
        <f t="shared" si="188"/>
        <v>Incentives Worksheet</v>
      </c>
      <c r="L1115" s="906" t="s">
        <v>1511</v>
      </c>
      <c r="M1115" s="1480">
        <v>1098</v>
      </c>
      <c r="N1115" s="1480"/>
      <c r="O1115" s="1477"/>
      <c r="P1115" s="1477"/>
      <c r="Q1115" s="1477"/>
      <c r="R1115" s="1480" t="s">
        <v>1107</v>
      </c>
      <c r="S1115" s="1477"/>
      <c r="T1115" s="1480">
        <f>IF(Q$1105="Yes",31,"")</f>
        <v>31</v>
      </c>
      <c r="U1115" s="1477"/>
      <c r="V1115" s="1477"/>
      <c r="W1115" s="1477"/>
      <c r="X1115" s="1477"/>
      <c r="Y1115" s="1477"/>
      <c r="Z1115" s="1477"/>
    </row>
    <row r="1116" spans="1:26"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80" t="s">
        <v>1985</v>
      </c>
      <c r="G1116" s="1480" t="str">
        <f>IF(T1116&lt;&gt;"","O","")</f>
        <v>O</v>
      </c>
      <c r="H1116" s="1480" t="s">
        <v>2063</v>
      </c>
      <c r="I1116" s="1427" t="str">
        <f t="shared" si="187"/>
        <v/>
      </c>
      <c r="J1116" s="1480"/>
      <c r="K1116" s="1480" t="str">
        <f t="shared" si="188"/>
        <v/>
      </c>
      <c r="L1116" s="906" t="s">
        <v>1405</v>
      </c>
      <c r="M1116" s="1480">
        <v>1099</v>
      </c>
      <c r="N1116" s="1480"/>
      <c r="O1116" s="1477"/>
      <c r="P1116" s="1477"/>
      <c r="Q1116" s="1477"/>
      <c r="R1116" s="1480" t="s">
        <v>1107</v>
      </c>
      <c r="S1116" s="1477"/>
      <c r="T1116" s="1480">
        <f t="shared" ref="T1116" si="193">IF(Q$1105="Yes",31,"")</f>
        <v>31</v>
      </c>
      <c r="U1116" s="1477"/>
      <c r="V1116" s="1477"/>
      <c r="W1116" s="1477"/>
      <c r="X1116" s="1477"/>
      <c r="Y1116" s="1477"/>
      <c r="Z1116" s="1477"/>
    </row>
    <row r="1117" spans="1:26"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87"/>
        <v>FF Payment Amount</v>
      </c>
      <c r="J1117" s="1480" t="str">
        <f t="shared" si="190"/>
        <v>F1100</v>
      </c>
      <c r="K1117" s="1480" t="str">
        <f t="shared" si="188"/>
        <v>Incentives Worksheet</v>
      </c>
      <c r="L1117" s="906" t="s">
        <v>1412</v>
      </c>
      <c r="M1117" s="1480">
        <v>1100</v>
      </c>
      <c r="N1117" s="1480"/>
      <c r="O1117" s="1477"/>
      <c r="P1117" s="1477"/>
      <c r="Q1117" s="1477"/>
      <c r="R1117" s="1480" t="s">
        <v>1107</v>
      </c>
      <c r="S1117" s="1477"/>
      <c r="T1117" s="1477"/>
      <c r="U1117" s="1477"/>
      <c r="V1117" s="1477"/>
      <c r="W1117" s="1477"/>
      <c r="X1117" s="1477"/>
      <c r="Y1117" s="1477"/>
      <c r="Z1117" s="1477"/>
    </row>
    <row r="1118" spans="1:26" x14ac:dyDescent="0.25">
      <c r="A1118" s="929" t="s">
        <v>1500</v>
      </c>
      <c r="B1118" s="906" t="str">
        <f ca="1">_xlfn.CONCAT(IFERROR(SUBSTITUTE(ADDRESS(1,MATCH(A1118,INDIRECT("'"&amp;E1118&amp;"'"&amp;"!A" &amp; $O$1105 + 5 &amp; ":Z" &amp; $O$1105 + 5),0),4),1,""),""),$O$1105+ 6)</f>
        <v>J441</v>
      </c>
      <c r="C1118" s="906" t="str">
        <f t="shared" ref="C1118:C1132" ca="1" si="194">IFERROR(SUBSTITUTE(ADDRESS(1,MATCH(A1118,INDIRECT("'"&amp;E1118&amp;"'"&amp;"!A" &amp; $O$1105 + 5 &amp; ":Z" &amp; $O$1105 + 5),0),4),1,""),"")</f>
        <v>J</v>
      </c>
      <c r="D1118" s="906" t="s">
        <v>1372</v>
      </c>
      <c r="E1118" s="906" t="s">
        <v>1535</v>
      </c>
      <c r="F1118" s="1192"/>
      <c r="G1118" s="906"/>
      <c r="H1118" s="906"/>
      <c r="I1118" s="1427" t="str">
        <f t="shared" si="187"/>
        <v>Payment Sequence</v>
      </c>
      <c r="J1118" s="1480" t="str">
        <f t="shared" si="190"/>
        <v>F1101</v>
      </c>
      <c r="K1118" s="1480" t="str">
        <f t="shared" si="188"/>
        <v>Incentives Worksheet</v>
      </c>
      <c r="L1118" s="906" t="s">
        <v>1500</v>
      </c>
      <c r="M1118" s="1480">
        <v>1101</v>
      </c>
      <c r="N1118" s="1480"/>
      <c r="O1118" s="1477"/>
      <c r="P1118" s="1477"/>
      <c r="Q1118" s="1477"/>
      <c r="R1118" s="1480" t="s">
        <v>1107</v>
      </c>
      <c r="S1118" s="1477"/>
      <c r="T1118" s="1477"/>
      <c r="U1118" s="1477"/>
      <c r="V1118" s="1477"/>
      <c r="W1118" s="1477"/>
      <c r="X1118" s="1477"/>
      <c r="Y1118" s="1477"/>
      <c r="Z1118" s="1477"/>
    </row>
    <row r="1119" spans="1:26" x14ac:dyDescent="0.25">
      <c r="A1119" s="929" t="s">
        <v>730</v>
      </c>
      <c r="B1119" s="906" t="str">
        <f ca="1">_xlfn.CONCAT(IFERROR(SUBSTITUTE(ADDRESS(1,MATCH(A1119,INDIRECT("'"&amp;E1119&amp;"'"&amp;"!A" &amp; $O$1105 + 5 &amp; ":Z" &amp; $O$1105 + 5),0),4),1,""),""),$O$1105+ 6)</f>
        <v>L441</v>
      </c>
      <c r="C1119" s="906" t="str">
        <f t="shared" ca="1" si="194"/>
        <v>L</v>
      </c>
      <c r="D1119" s="906" t="s">
        <v>1372</v>
      </c>
      <c r="E1119" s="906" t="s">
        <v>1535</v>
      </c>
      <c r="F1119" s="1192"/>
      <c r="G1119" s="906"/>
      <c r="H1119" s="906"/>
      <c r="I1119" s="1427" t="str">
        <f t="shared" si="187"/>
        <v>Payment Amount</v>
      </c>
      <c r="J1119" s="1480" t="str">
        <f t="shared" si="190"/>
        <v>F1102</v>
      </c>
      <c r="K1119" s="1480" t="str">
        <f t="shared" si="188"/>
        <v>Incentives Worksheet</v>
      </c>
      <c r="L1119" s="906" t="s">
        <v>730</v>
      </c>
      <c r="M1119" s="1480">
        <v>1102</v>
      </c>
      <c r="N1119" s="1480"/>
      <c r="O1119" s="1477"/>
      <c r="P1119" s="1477"/>
      <c r="Q1119" s="1477"/>
      <c r="R1119" s="1480" t="s">
        <v>1107</v>
      </c>
      <c r="S1119" s="1477"/>
      <c r="T1119" s="1477"/>
      <c r="U1119" s="1477"/>
      <c r="V1119" s="1477"/>
      <c r="W1119" s="1477"/>
      <c r="X1119" s="1477"/>
      <c r="Y1119" s="1477"/>
      <c r="Z1119" s="1477"/>
    </row>
    <row r="1120" spans="1:26" x14ac:dyDescent="0.25">
      <c r="A1120" s="929" t="s">
        <v>1501</v>
      </c>
      <c r="B1120" s="906" t="str">
        <f ca="1">_xlfn.CONCAT(IFERROR(SUBSTITUTE(ADDRESS(1,MATCH(A1120,INDIRECT("'"&amp;E1120&amp;"'"&amp;"!A" &amp; $O$1105 + 5 &amp; ":Z" &amp; $O$1105 + 5),0),4),1,""),""),$O$1105+ 6)</f>
        <v>N441</v>
      </c>
      <c r="C1120" s="906" t="str">
        <f t="shared" ca="1" si="194"/>
        <v>N</v>
      </c>
      <c r="D1120" s="906" t="s">
        <v>1372</v>
      </c>
      <c r="E1120" s="906" t="s">
        <v>1535</v>
      </c>
      <c r="F1120" s="1192"/>
      <c r="G1120" s="906"/>
      <c r="H1120" s="906"/>
      <c r="I1120" s="1427" t="str">
        <f t="shared" si="187"/>
        <v>Purchase Commitment</v>
      </c>
      <c r="J1120" s="1480" t="str">
        <f t="shared" si="190"/>
        <v>F1103</v>
      </c>
      <c r="K1120" s="1480" t="str">
        <f t="shared" si="188"/>
        <v>Incentives Worksheet</v>
      </c>
      <c r="L1120" s="906" t="s">
        <v>1501</v>
      </c>
      <c r="M1120" s="1480">
        <v>1103</v>
      </c>
      <c r="N1120" s="1480"/>
      <c r="O1120" s="1477"/>
      <c r="P1120" s="1477"/>
      <c r="Q1120" s="1477"/>
      <c r="R1120" s="1480" t="s">
        <v>1107</v>
      </c>
      <c r="S1120" s="1477"/>
      <c r="T1120" s="1477"/>
      <c r="U1120" s="1477"/>
      <c r="V1120" s="1477"/>
      <c r="W1120" s="1477"/>
      <c r="X1120" s="1477"/>
      <c r="Y1120" s="1477"/>
      <c r="Z1120" s="1477"/>
    </row>
    <row r="1121" spans="1:26" x14ac:dyDescent="0.25">
      <c r="A1121" s="929" t="s">
        <v>1500</v>
      </c>
      <c r="B1121" s="906" t="str">
        <f ca="1">_xlfn.CONCAT(IFERROR(SUBSTITUTE(ADDRESS(1,MATCH(A1121,INDIRECT("'"&amp;E1121&amp;"'"&amp;"!A" &amp; $O$1105 + 5 &amp; ":Z" &amp; $O$1105 + 5),0),4),1,""),""),$O$1105+ 7)</f>
        <v>J442</v>
      </c>
      <c r="C1121" s="906" t="str">
        <f t="shared" ca="1" si="194"/>
        <v>J</v>
      </c>
      <c r="D1121" s="906" t="s">
        <v>1372</v>
      </c>
      <c r="E1121" s="906" t="s">
        <v>1535</v>
      </c>
      <c r="F1121" s="906"/>
      <c r="G1121" s="906"/>
      <c r="H1121" s="906"/>
      <c r="I1121" s="1427" t="str">
        <f t="shared" si="187"/>
        <v>Payment Sequence</v>
      </c>
      <c r="J1121" s="1480" t="str">
        <f t="shared" si="190"/>
        <v>F1104</v>
      </c>
      <c r="K1121" s="1480" t="str">
        <f t="shared" si="188"/>
        <v>Incentives Worksheet</v>
      </c>
      <c r="L1121" s="906" t="s">
        <v>1500</v>
      </c>
      <c r="M1121" s="1480">
        <v>1104</v>
      </c>
      <c r="N1121" s="1480"/>
      <c r="O1121" s="1477"/>
      <c r="P1121" s="1477"/>
      <c r="Q1121" s="1477"/>
      <c r="R1121" s="1480" t="s">
        <v>1107</v>
      </c>
      <c r="S1121" s="1477"/>
      <c r="T1121" s="1477"/>
      <c r="U1121" s="1477"/>
      <c r="V1121" s="1477"/>
      <c r="W1121" s="1477"/>
      <c r="X1121" s="1477"/>
      <c r="Y1121" s="1477"/>
      <c r="Z1121" s="1477"/>
    </row>
    <row r="1122" spans="1:26" x14ac:dyDescent="0.25">
      <c r="A1122" s="929" t="s">
        <v>730</v>
      </c>
      <c r="B1122" s="906" t="str">
        <f ca="1">_xlfn.CONCAT(IFERROR(SUBSTITUTE(ADDRESS(1,MATCH(A1122,INDIRECT("'"&amp;E1122&amp;"'"&amp;"!A" &amp; $O$1105 + 5 &amp; ":Z" &amp; $O$1105 + 5),0),4),1,""),""),$O$1105+ 7)</f>
        <v>L442</v>
      </c>
      <c r="C1122" s="906" t="str">
        <f t="shared" ca="1" si="194"/>
        <v>L</v>
      </c>
      <c r="D1122" s="906" t="s">
        <v>1372</v>
      </c>
      <c r="E1122" s="906" t="s">
        <v>1535</v>
      </c>
      <c r="F1122" s="906"/>
      <c r="G1122" s="906"/>
      <c r="H1122" s="906"/>
      <c r="I1122" s="1427" t="str">
        <f t="shared" si="187"/>
        <v>Payment Amount</v>
      </c>
      <c r="J1122" s="1480" t="str">
        <f t="shared" si="190"/>
        <v>F1105</v>
      </c>
      <c r="K1122" s="1480" t="str">
        <f t="shared" si="188"/>
        <v>Incentives Worksheet</v>
      </c>
      <c r="L1122" s="906" t="s">
        <v>730</v>
      </c>
      <c r="M1122" s="1480">
        <v>1105</v>
      </c>
      <c r="N1122" s="1480"/>
      <c r="O1122" s="1477"/>
      <c r="P1122" s="1477"/>
      <c r="Q1122" s="1477"/>
      <c r="R1122" s="1480" t="s">
        <v>1107</v>
      </c>
      <c r="S1122" s="1477"/>
      <c r="T1122" s="1477"/>
      <c r="U1122" s="1477"/>
      <c r="V1122" s="1477"/>
      <c r="W1122" s="1477"/>
      <c r="X1122" s="1477"/>
      <c r="Y1122" s="1477"/>
      <c r="Z1122" s="1477"/>
    </row>
    <row r="1123" spans="1:26" x14ac:dyDescent="0.25">
      <c r="A1123" s="929" t="s">
        <v>1501</v>
      </c>
      <c r="B1123" s="906" t="str">
        <f ca="1">_xlfn.CONCAT(IFERROR(SUBSTITUTE(ADDRESS(1,MATCH(A1123,INDIRECT("'"&amp;E1123&amp;"'"&amp;"!A" &amp; $O$1105 + 5 &amp; ":Z" &amp; $O$1105 + 5),0),4),1,""),""),$O$1105+ 7)</f>
        <v>N442</v>
      </c>
      <c r="C1123" s="906" t="str">
        <f t="shared" ca="1" si="194"/>
        <v>N</v>
      </c>
      <c r="D1123" s="906" t="s">
        <v>1372</v>
      </c>
      <c r="E1123" s="906" t="s">
        <v>1535</v>
      </c>
      <c r="F1123" s="906"/>
      <c r="G1123" s="906"/>
      <c r="H1123" s="906"/>
      <c r="I1123" s="1427" t="str">
        <f t="shared" si="187"/>
        <v>Purchase Commitment</v>
      </c>
      <c r="J1123" s="1480" t="str">
        <f t="shared" si="190"/>
        <v>F1106</v>
      </c>
      <c r="K1123" s="1480" t="str">
        <f t="shared" si="188"/>
        <v>Incentives Worksheet</v>
      </c>
      <c r="L1123" s="906" t="s">
        <v>1501</v>
      </c>
      <c r="M1123" s="1480">
        <v>1106</v>
      </c>
      <c r="N1123" s="1480"/>
      <c r="O1123" s="1477"/>
      <c r="P1123" s="1477"/>
      <c r="Q1123" s="1477"/>
      <c r="R1123" s="1480" t="s">
        <v>1107</v>
      </c>
      <c r="S1123" s="1477"/>
      <c r="T1123" s="1477"/>
      <c r="U1123" s="1477"/>
      <c r="V1123" s="1477"/>
      <c r="W1123" s="1477"/>
      <c r="X1123" s="1477"/>
      <c r="Y1123" s="1477"/>
      <c r="Z1123" s="1477"/>
    </row>
    <row r="1124" spans="1:26" x14ac:dyDescent="0.25">
      <c r="A1124" s="929" t="s">
        <v>1500</v>
      </c>
      <c r="B1124" s="906" t="str">
        <f ca="1">_xlfn.CONCAT(IFERROR(SUBSTITUTE(ADDRESS(1,MATCH(A1124,INDIRECT("'"&amp;E1124&amp;"'"&amp;"!A" &amp; $O$1105 + 5 &amp; ":Z" &amp; $O$1105 + 5),0),4),1,""),""),$O$1105+ 8)</f>
        <v>J443</v>
      </c>
      <c r="C1124" s="906" t="str">
        <f t="shared" ca="1" si="194"/>
        <v>J</v>
      </c>
      <c r="D1124" s="906" t="s">
        <v>1372</v>
      </c>
      <c r="E1124" s="906" t="s">
        <v>1535</v>
      </c>
      <c r="F1124" s="906"/>
      <c r="G1124" s="906"/>
      <c r="H1124" s="906"/>
      <c r="I1124" s="1427" t="str">
        <f t="shared" si="187"/>
        <v>Payment Sequence</v>
      </c>
      <c r="J1124" s="1480" t="str">
        <f t="shared" si="190"/>
        <v>F1107</v>
      </c>
      <c r="K1124" s="1480" t="str">
        <f t="shared" si="188"/>
        <v>Incentives Worksheet</v>
      </c>
      <c r="L1124" s="906" t="s">
        <v>1500</v>
      </c>
      <c r="M1124" s="1480">
        <v>1107</v>
      </c>
      <c r="N1124" s="1480"/>
      <c r="O1124" s="1477"/>
      <c r="P1124" s="1477"/>
      <c r="Q1124" s="1477"/>
      <c r="R1124" s="1480" t="s">
        <v>1107</v>
      </c>
      <c r="S1124" s="1477"/>
      <c r="T1124" s="1477"/>
      <c r="U1124" s="1477"/>
      <c r="V1124" s="1477"/>
      <c r="W1124" s="1477"/>
      <c r="X1124" s="1477"/>
      <c r="Y1124" s="1477"/>
      <c r="Z1124" s="1477"/>
    </row>
    <row r="1125" spans="1:26" x14ac:dyDescent="0.25">
      <c r="A1125" s="929" t="s">
        <v>730</v>
      </c>
      <c r="B1125" s="906" t="str">
        <f ca="1">_xlfn.CONCAT(IFERROR(SUBSTITUTE(ADDRESS(1,MATCH(A1125,INDIRECT("'"&amp;E1125&amp;"'"&amp;"!A" &amp; $O$1105 + 5 &amp; ":Z" &amp; $O$1105 + 5),0),4),1,""),""),$O$1105+ 8)</f>
        <v>L443</v>
      </c>
      <c r="C1125" s="906" t="str">
        <f t="shared" ca="1" si="194"/>
        <v>L</v>
      </c>
      <c r="D1125" s="906" t="s">
        <v>1372</v>
      </c>
      <c r="E1125" s="906" t="s">
        <v>1535</v>
      </c>
      <c r="F1125" s="906"/>
      <c r="G1125" s="906"/>
      <c r="H1125" s="906"/>
      <c r="I1125" s="1427" t="str">
        <f t="shared" si="187"/>
        <v>Payment Amount</v>
      </c>
      <c r="J1125" s="1480" t="str">
        <f t="shared" si="190"/>
        <v>F1108</v>
      </c>
      <c r="K1125" s="1480" t="str">
        <f t="shared" si="188"/>
        <v>Incentives Worksheet</v>
      </c>
      <c r="L1125" s="906" t="s">
        <v>730</v>
      </c>
      <c r="M1125" s="1480">
        <v>1108</v>
      </c>
      <c r="N1125" s="1480"/>
      <c r="O1125" s="1477"/>
      <c r="P1125" s="1477"/>
      <c r="Q1125" s="1477"/>
      <c r="R1125" s="1480" t="s">
        <v>1107</v>
      </c>
      <c r="S1125" s="1477"/>
      <c r="T1125" s="1477"/>
      <c r="U1125" s="1477"/>
      <c r="V1125" s="1477"/>
      <c r="W1125" s="1477"/>
      <c r="X1125" s="1477"/>
      <c r="Y1125" s="1477"/>
      <c r="Z1125" s="1477"/>
    </row>
    <row r="1126" spans="1:26" x14ac:dyDescent="0.25">
      <c r="A1126" s="929" t="s">
        <v>1501</v>
      </c>
      <c r="B1126" s="906" t="str">
        <f ca="1">_xlfn.CONCAT(IFERROR(SUBSTITUTE(ADDRESS(1,MATCH(A1126,INDIRECT("'"&amp;E1126&amp;"'"&amp;"!A" &amp; $O$1105 + 5 &amp; ":Z" &amp; $O$1105 + 5),0),4),1,""),""),$O$1105+ 8)</f>
        <v>N443</v>
      </c>
      <c r="C1126" s="906" t="str">
        <f t="shared" ca="1" si="194"/>
        <v>N</v>
      </c>
      <c r="D1126" s="906" t="s">
        <v>1372</v>
      </c>
      <c r="E1126" s="906" t="s">
        <v>1535</v>
      </c>
      <c r="F1126" s="906"/>
      <c r="G1126" s="906"/>
      <c r="H1126" s="906"/>
      <c r="I1126" s="1427" t="str">
        <f t="shared" si="187"/>
        <v>Purchase Commitment</v>
      </c>
      <c r="J1126" s="1480" t="str">
        <f t="shared" si="190"/>
        <v>F1109</v>
      </c>
      <c r="K1126" s="1480" t="str">
        <f t="shared" si="188"/>
        <v>Incentives Worksheet</v>
      </c>
      <c r="L1126" s="906" t="s">
        <v>1501</v>
      </c>
      <c r="M1126" s="1480">
        <v>1109</v>
      </c>
      <c r="N1126" s="1480"/>
      <c r="O1126" s="1477"/>
      <c r="P1126" s="1477"/>
      <c r="Q1126" s="1477"/>
      <c r="R1126" s="1480" t="s">
        <v>1107</v>
      </c>
      <c r="S1126" s="1477"/>
      <c r="T1126" s="1477"/>
      <c r="U1126" s="1477"/>
      <c r="V1126" s="1477"/>
      <c r="W1126" s="1477"/>
      <c r="X1126" s="1477"/>
      <c r="Y1126" s="1477"/>
      <c r="Z1126" s="1477"/>
    </row>
    <row r="1127" spans="1:26" x14ac:dyDescent="0.25">
      <c r="A1127" s="929" t="s">
        <v>1500</v>
      </c>
      <c r="B1127" s="906" t="str">
        <f ca="1">_xlfn.CONCAT(IFERROR(SUBSTITUTE(ADDRESS(1,MATCH(A1127,INDIRECT("'"&amp;E1127&amp;"'"&amp;"!A" &amp; $O$1105 + 5 &amp; ":Z" &amp; $O$1105 + 5),0),4),1,""),""),$O$1105+ 9)</f>
        <v>J444</v>
      </c>
      <c r="C1127" s="906" t="str">
        <f t="shared" ca="1" si="194"/>
        <v>J</v>
      </c>
      <c r="D1127" s="906" t="s">
        <v>1372</v>
      </c>
      <c r="E1127" s="906" t="s">
        <v>1535</v>
      </c>
      <c r="F1127" s="906"/>
      <c r="G1127" s="906"/>
      <c r="H1127" s="906"/>
      <c r="I1127" s="1427" t="str">
        <f t="shared" si="187"/>
        <v>Payment Sequence</v>
      </c>
      <c r="J1127" s="1480" t="str">
        <f t="shared" si="190"/>
        <v>F1110</v>
      </c>
      <c r="K1127" s="1480" t="str">
        <f t="shared" si="188"/>
        <v>Incentives Worksheet</v>
      </c>
      <c r="L1127" s="906" t="s">
        <v>1500</v>
      </c>
      <c r="M1127" s="1480">
        <v>1110</v>
      </c>
      <c r="N1127" s="1480"/>
      <c r="O1127" s="1477"/>
      <c r="P1127" s="1477"/>
      <c r="Q1127" s="1477"/>
      <c r="R1127" s="1480" t="s">
        <v>1107</v>
      </c>
      <c r="S1127" s="1477"/>
      <c r="T1127" s="1477"/>
      <c r="U1127" s="1477"/>
      <c r="V1127" s="1477"/>
      <c r="W1127" s="1477"/>
      <c r="X1127" s="1477"/>
      <c r="Y1127" s="1477"/>
      <c r="Z1127" s="1477"/>
    </row>
    <row r="1128" spans="1:26" x14ac:dyDescent="0.25">
      <c r="A1128" s="929" t="s">
        <v>730</v>
      </c>
      <c r="B1128" s="906" t="str">
        <f ca="1">_xlfn.CONCAT(IFERROR(SUBSTITUTE(ADDRESS(1,MATCH(A1128,INDIRECT("'"&amp;E1128&amp;"'"&amp;"!A" &amp; $O$1105 + 5 &amp; ":Z" &amp; $O$1105 + 5),0),4),1,""),""),$O$1105+ 9)</f>
        <v>L444</v>
      </c>
      <c r="C1128" s="906" t="str">
        <f t="shared" ca="1" si="194"/>
        <v>L</v>
      </c>
      <c r="D1128" s="906" t="s">
        <v>1372</v>
      </c>
      <c r="E1128" s="906" t="s">
        <v>1535</v>
      </c>
      <c r="F1128" s="906"/>
      <c r="G1128" s="906"/>
      <c r="H1128" s="906"/>
      <c r="I1128" s="1427" t="str">
        <f t="shared" si="187"/>
        <v>Payment Amount</v>
      </c>
      <c r="J1128" s="1480" t="str">
        <f t="shared" si="190"/>
        <v>F1111</v>
      </c>
      <c r="K1128" s="1480" t="str">
        <f t="shared" si="188"/>
        <v>Incentives Worksheet</v>
      </c>
      <c r="L1128" s="906" t="s">
        <v>730</v>
      </c>
      <c r="M1128" s="1480">
        <v>1111</v>
      </c>
      <c r="N1128" s="1480"/>
      <c r="O1128" s="1477"/>
      <c r="P1128" s="1477"/>
      <c r="Q1128" s="1477"/>
      <c r="R1128" s="1480" t="s">
        <v>1107</v>
      </c>
      <c r="S1128" s="1477"/>
      <c r="T1128" s="1477"/>
      <c r="U1128" s="1477"/>
      <c r="V1128" s="1477"/>
      <c r="W1128" s="1477"/>
      <c r="X1128" s="1477"/>
      <c r="Y1128" s="1477"/>
      <c r="Z1128" s="1477"/>
    </row>
    <row r="1129" spans="1:26" x14ac:dyDescent="0.25">
      <c r="A1129" s="929" t="s">
        <v>1501</v>
      </c>
      <c r="B1129" s="906" t="str">
        <f ca="1">_xlfn.CONCAT(IFERROR(SUBSTITUTE(ADDRESS(1,MATCH(A1129,INDIRECT("'"&amp;E1129&amp;"'"&amp;"!A" &amp; $O$1105 + 5 &amp; ":Z" &amp; $O$1105 + 5),0),4),1,""),""),$O$1105+ 9)</f>
        <v>N444</v>
      </c>
      <c r="C1129" s="906" t="str">
        <f t="shared" ca="1" si="194"/>
        <v>N</v>
      </c>
      <c r="D1129" s="906" t="s">
        <v>1372</v>
      </c>
      <c r="E1129" s="906" t="s">
        <v>1535</v>
      </c>
      <c r="F1129" s="906"/>
      <c r="G1129" s="906"/>
      <c r="H1129" s="906"/>
      <c r="I1129" s="1427" t="str">
        <f t="shared" si="187"/>
        <v>Purchase Commitment</v>
      </c>
      <c r="J1129" s="1480" t="str">
        <f t="shared" si="190"/>
        <v>F1112</v>
      </c>
      <c r="K1129" s="1480" t="str">
        <f t="shared" si="188"/>
        <v>Incentives Worksheet</v>
      </c>
      <c r="L1129" s="906" t="s">
        <v>1501</v>
      </c>
      <c r="M1129" s="1480">
        <v>1112</v>
      </c>
      <c r="N1129" s="1480"/>
      <c r="O1129" s="1477"/>
      <c r="P1129" s="1477"/>
      <c r="Q1129" s="1477"/>
      <c r="R1129" s="1480" t="s">
        <v>1107</v>
      </c>
      <c r="S1129" s="1477"/>
      <c r="T1129" s="1477"/>
      <c r="U1129" s="1477"/>
      <c r="V1129" s="1477"/>
      <c r="W1129" s="1477"/>
      <c r="X1129" s="1477"/>
      <c r="Y1129" s="1477"/>
      <c r="Z1129" s="1477"/>
    </row>
    <row r="1130" spans="1:26" x14ac:dyDescent="0.25">
      <c r="A1130" s="929" t="s">
        <v>1500</v>
      </c>
      <c r="B1130" s="906" t="str">
        <f ca="1">_xlfn.CONCAT(IFERROR(SUBSTITUTE(ADDRESS(1,MATCH(A1130,INDIRECT("'"&amp;E1130&amp;"'"&amp;"!A" &amp; $O$1105 + 5 &amp; ":Z" &amp; $O$1105 + 5),0),4),1,""),""),$O$1105+ 10)</f>
        <v>J445</v>
      </c>
      <c r="C1130" s="906" t="str">
        <f t="shared" ca="1" si="194"/>
        <v>J</v>
      </c>
      <c r="D1130" s="906" t="s">
        <v>1372</v>
      </c>
      <c r="E1130" s="906" t="s">
        <v>1535</v>
      </c>
      <c r="F1130" s="906"/>
      <c r="G1130" s="906"/>
      <c r="H1130" s="906"/>
      <c r="I1130" s="1427" t="str">
        <f t="shared" si="187"/>
        <v>Payment Sequence</v>
      </c>
      <c r="J1130" s="1480" t="str">
        <f t="shared" si="190"/>
        <v>F1113</v>
      </c>
      <c r="K1130" s="1480" t="str">
        <f t="shared" si="188"/>
        <v>Incentives Worksheet</v>
      </c>
      <c r="L1130" s="906" t="s">
        <v>1500</v>
      </c>
      <c r="M1130" s="1480">
        <v>1113</v>
      </c>
      <c r="N1130" s="1480"/>
      <c r="O1130" s="1477"/>
      <c r="P1130" s="1477"/>
      <c r="Q1130" s="1477"/>
      <c r="R1130" s="1480" t="s">
        <v>1107</v>
      </c>
      <c r="S1130" s="1477"/>
      <c r="T1130" s="1477"/>
      <c r="U1130" s="1477"/>
      <c r="V1130" s="1477"/>
      <c r="W1130" s="1477"/>
      <c r="X1130" s="1477"/>
      <c r="Y1130" s="1477"/>
      <c r="Z1130" s="1477"/>
    </row>
    <row r="1131" spans="1:26" x14ac:dyDescent="0.25">
      <c r="A1131" s="929" t="s">
        <v>730</v>
      </c>
      <c r="B1131" s="906" t="str">
        <f ca="1">_xlfn.CONCAT(IFERROR(SUBSTITUTE(ADDRESS(1,MATCH(A1131,INDIRECT("'"&amp;E1131&amp;"'"&amp;"!A" &amp; $O$1105 + 5 &amp; ":Z" &amp; $O$1105 + 5),0),4),1,""),""),$O$1105+ 10)</f>
        <v>L445</v>
      </c>
      <c r="C1131" s="906" t="str">
        <f t="shared" ca="1" si="194"/>
        <v>L</v>
      </c>
      <c r="D1131" s="906" t="s">
        <v>1372</v>
      </c>
      <c r="E1131" s="906" t="s">
        <v>1535</v>
      </c>
      <c r="F1131" s="906"/>
      <c r="G1131" s="906"/>
      <c r="H1131" s="906"/>
      <c r="I1131" s="1427" t="str">
        <f t="shared" si="187"/>
        <v>Payment Amount</v>
      </c>
      <c r="J1131" s="1480" t="str">
        <f t="shared" si="190"/>
        <v>F1114</v>
      </c>
      <c r="K1131" s="1480" t="str">
        <f t="shared" si="188"/>
        <v>Incentives Worksheet</v>
      </c>
      <c r="L1131" s="906" t="s">
        <v>730</v>
      </c>
      <c r="M1131" s="1480">
        <v>1114</v>
      </c>
      <c r="N1131" s="1480"/>
      <c r="O1131" s="1477"/>
      <c r="P1131" s="1477"/>
      <c r="Q1131" s="1477"/>
      <c r="R1131" s="1480" t="s">
        <v>1107</v>
      </c>
      <c r="S1131" s="1477"/>
      <c r="T1131" s="1477"/>
      <c r="U1131" s="1477"/>
      <c r="V1131" s="1477"/>
      <c r="W1131" s="1477"/>
      <c r="X1131" s="1477"/>
      <c r="Y1131" s="1477"/>
      <c r="Z1131" s="1477"/>
    </row>
    <row r="1132" spans="1:26" x14ac:dyDescent="0.25">
      <c r="A1132" s="929" t="s">
        <v>1501</v>
      </c>
      <c r="B1132" s="906" t="str">
        <f ca="1">_xlfn.CONCAT(IFERROR(SUBSTITUTE(ADDRESS(1,MATCH(A1132,INDIRECT("'"&amp;E1132&amp;"'"&amp;"!A" &amp; $O$1105 + 5 &amp; ":Z" &amp; $O$1105 + 5),0),4),1,""),""),$O$1105+ 10)</f>
        <v>N445</v>
      </c>
      <c r="C1132" s="906" t="str">
        <f t="shared" ca="1" si="194"/>
        <v>N</v>
      </c>
      <c r="D1132" s="906" t="s">
        <v>1372</v>
      </c>
      <c r="E1132" s="906" t="s">
        <v>1535</v>
      </c>
      <c r="F1132" s="906"/>
      <c r="G1132" s="906"/>
      <c r="H1132" s="906"/>
      <c r="I1132" s="1427" t="str">
        <f t="shared" si="187"/>
        <v>Purchase Commitment</v>
      </c>
      <c r="J1132" s="1480" t="str">
        <f t="shared" si="190"/>
        <v>F1115</v>
      </c>
      <c r="K1132" s="1480" t="str">
        <f t="shared" si="188"/>
        <v>Incentives Worksheet</v>
      </c>
      <c r="L1132" s="906" t="s">
        <v>1501</v>
      </c>
      <c r="M1132" s="1480">
        <v>1115</v>
      </c>
      <c r="N1132" s="1480"/>
      <c r="O1132" s="1477"/>
      <c r="P1132" s="1477"/>
      <c r="Q1132" s="1477"/>
      <c r="R1132" s="1480" t="s">
        <v>1107</v>
      </c>
      <c r="S1132" s="1477"/>
      <c r="T1132" s="1477"/>
      <c r="U1132" s="1477"/>
      <c r="V1132" s="1477"/>
      <c r="W1132" s="1477"/>
      <c r="X1132" s="1477"/>
      <c r="Y1132" s="1477"/>
      <c r="Z1132" s="1477"/>
    </row>
    <row r="1133" spans="1:26"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80" t="s">
        <v>1510</v>
      </c>
      <c r="G1133" s="1480" t="str">
        <f>IF(T1133&lt;&gt;"","A","")</f>
        <v/>
      </c>
      <c r="H1133" s="1480" t="s">
        <v>2063</v>
      </c>
      <c r="I1133" s="1427" t="str">
        <f t="shared" si="187"/>
        <v/>
      </c>
      <c r="J1133" s="1480"/>
      <c r="K1133" s="1480" t="str">
        <f t="shared" si="188"/>
        <v/>
      </c>
      <c r="L1133" s="906" t="s">
        <v>1510</v>
      </c>
      <c r="M1133" s="1480">
        <v>1116</v>
      </c>
      <c r="N1133" s="1480"/>
      <c r="O1133" s="1477" t="s">
        <v>728</v>
      </c>
      <c r="P1133" s="1477"/>
      <c r="Q1133" s="1477"/>
      <c r="R1133" s="1480" t="s">
        <v>1107</v>
      </c>
      <c r="S1133" s="1477"/>
      <c r="T1133" s="1480" t="str">
        <f>IF(Q$1134="Yes",32,"")</f>
        <v/>
      </c>
      <c r="U1133" s="1477"/>
      <c r="V1133" s="1477"/>
      <c r="W1133" s="1477"/>
      <c r="X1133" s="1477"/>
      <c r="Y1133" s="1477"/>
      <c r="Z1133" s="1477"/>
    </row>
    <row r="1134" spans="1:26"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80"/>
      <c r="G1134" s="1480"/>
      <c r="H1134" s="1480"/>
      <c r="I1134" s="1427" t="str">
        <f t="shared" si="187"/>
        <v/>
      </c>
      <c r="J1134" s="1480" t="str">
        <f t="shared" ref="J1134:J1161" si="195">IF(M1134&lt;&gt;"",IF($Q$1134="Yes",Q$1&amp;M1134,""))</f>
        <v/>
      </c>
      <c r="K1134" s="1480" t="str">
        <f t="shared" si="188"/>
        <v/>
      </c>
      <c r="L1134" s="906" t="s">
        <v>1724</v>
      </c>
      <c r="M1134" s="1480">
        <v>1117</v>
      </c>
      <c r="N1134" s="1480"/>
      <c r="O1134" s="1477">
        <f>'Configurable Tab'!H34</f>
        <v>449</v>
      </c>
      <c r="P1134" s="1477"/>
      <c r="Q1134" s="1477" t="s">
        <v>651</v>
      </c>
      <c r="R1134" s="1480" t="s">
        <v>1107</v>
      </c>
      <c r="S1134" s="1477"/>
      <c r="T1134" s="1480" t="str">
        <f t="shared" ref="T1134:T1139" si="196">IF(Q$1134="Yes",32,"")</f>
        <v/>
      </c>
      <c r="U1134" s="1477"/>
      <c r="V1134" s="1477"/>
      <c r="W1134" s="1477"/>
      <c r="X1134" s="1477"/>
      <c r="Y1134" s="1477"/>
      <c r="Z1134" s="1477"/>
    </row>
    <row r="1135" spans="1:26"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80" t="s">
        <v>1399</v>
      </c>
      <c r="G1135" s="1480" t="str">
        <f>IF(T1135&lt;&gt;"","B","")</f>
        <v/>
      </c>
      <c r="H1135" s="1480" t="s">
        <v>2063</v>
      </c>
      <c r="I1135" s="1427" t="str">
        <f t="shared" si="187"/>
        <v/>
      </c>
      <c r="J1135" s="1480"/>
      <c r="K1135" s="1480" t="str">
        <f t="shared" si="188"/>
        <v/>
      </c>
      <c r="L1135" s="906" t="s">
        <v>1399</v>
      </c>
      <c r="M1135" s="1480">
        <v>1118</v>
      </c>
      <c r="N1135" s="1480"/>
      <c r="O1135" s="1477" t="s">
        <v>729</v>
      </c>
      <c r="P1135" s="1477"/>
      <c r="Q1135" s="1477"/>
      <c r="R1135" s="1480" t="s">
        <v>1107</v>
      </c>
      <c r="S1135" s="1477"/>
      <c r="T1135" s="1480" t="str">
        <f t="shared" si="196"/>
        <v/>
      </c>
      <c r="U1135" s="1477"/>
      <c r="V1135" s="1477"/>
      <c r="W1135" s="1477"/>
      <c r="X1135" s="1477"/>
      <c r="Y1135" s="1477"/>
      <c r="Z1135" s="1477"/>
    </row>
    <row r="1136" spans="1:26"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80" t="s">
        <v>2064</v>
      </c>
      <c r="G1136" s="1480" t="str">
        <f>IF(T1136&lt;&gt;"","E","")</f>
        <v/>
      </c>
      <c r="H1136" s="1480" t="s">
        <v>2063</v>
      </c>
      <c r="I1136" s="1427" t="str">
        <f t="shared" si="187"/>
        <v/>
      </c>
      <c r="J1136" s="1480" t="str">
        <f t="shared" si="195"/>
        <v/>
      </c>
      <c r="K1136" s="1480" t="str">
        <f t="shared" si="188"/>
        <v/>
      </c>
      <c r="L1136" s="906" t="s">
        <v>1396</v>
      </c>
      <c r="M1136" s="1480">
        <v>1119</v>
      </c>
      <c r="N1136" s="1480"/>
      <c r="O1136" s="1477">
        <f>'Configurable Tab'!I34</f>
        <v>462</v>
      </c>
      <c r="P1136" s="1477"/>
      <c r="Q1136" s="1477"/>
      <c r="R1136" s="1480" t="s">
        <v>1107</v>
      </c>
      <c r="S1136" s="1477"/>
      <c r="T1136" s="1480" t="str">
        <f t="shared" si="196"/>
        <v/>
      </c>
      <c r="U1136" s="1477"/>
      <c r="V1136" s="1477"/>
      <c r="W1136" s="1477"/>
      <c r="X1136" s="1477"/>
      <c r="Y1136" s="1477"/>
      <c r="Z1136" s="1477"/>
    </row>
    <row r="1137" spans="1:26"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80" t="s">
        <v>2065</v>
      </c>
      <c r="G1137" s="1480" t="str">
        <f>IF(T1137&lt;&gt;"","I","")</f>
        <v/>
      </c>
      <c r="H1137" s="1480" t="s">
        <v>2063</v>
      </c>
      <c r="I1137" s="1427" t="str">
        <f t="shared" si="187"/>
        <v/>
      </c>
      <c r="J1137" s="1480" t="str">
        <f t="shared" si="195"/>
        <v/>
      </c>
      <c r="K1137" s="1480" t="str">
        <f t="shared" si="188"/>
        <v/>
      </c>
      <c r="L1137" s="906" t="s">
        <v>1397</v>
      </c>
      <c r="M1137" s="1480">
        <v>1120</v>
      </c>
      <c r="N1137" s="1480"/>
      <c r="O1137" s="1477" t="s">
        <v>1678</v>
      </c>
      <c r="P1137" s="1477"/>
      <c r="Q1137" s="1477"/>
      <c r="R1137" s="1480" t="s">
        <v>1107</v>
      </c>
      <c r="S1137" s="1477"/>
      <c r="T1137" s="1480" t="str">
        <f t="shared" si="196"/>
        <v/>
      </c>
      <c r="U1137" s="1477"/>
      <c r="V1137" s="1477"/>
      <c r="W1137" s="1477"/>
      <c r="X1137" s="1477"/>
      <c r="Y1137" s="1477"/>
      <c r="Z1137" s="1477"/>
    </row>
    <row r="1138" spans="1:26"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80" t="s">
        <v>1398</v>
      </c>
      <c r="G1138" s="1480" t="str">
        <f>IF(T1138&lt;&gt;"",IF(Q1136="Credit Memo","J",IF(Q1136="Check","K","")),"")</f>
        <v/>
      </c>
      <c r="H1138" s="1480" t="s">
        <v>2063</v>
      </c>
      <c r="I1138" s="1427" t="str">
        <f t="shared" si="187"/>
        <v/>
      </c>
      <c r="J1138" s="1480" t="str">
        <f t="shared" si="195"/>
        <v/>
      </c>
      <c r="K1138" s="1480" t="str">
        <f t="shared" si="188"/>
        <v/>
      </c>
      <c r="L1138" s="906" t="s">
        <v>1398</v>
      </c>
      <c r="M1138" s="1480">
        <v>1121</v>
      </c>
      <c r="N1138" s="1480"/>
      <c r="O1138" s="1477"/>
      <c r="P1138" s="1477"/>
      <c r="Q1138" s="1477"/>
      <c r="R1138" s="1480" t="s">
        <v>1107</v>
      </c>
      <c r="S1138" s="1477"/>
      <c r="T1138" s="1480" t="str">
        <f t="shared" si="196"/>
        <v/>
      </c>
      <c r="U1138" s="1477"/>
      <c r="V1138" s="1477"/>
      <c r="W1138" s="1477"/>
      <c r="X1138" s="1477"/>
      <c r="Y1138" s="1477"/>
      <c r="Z1138" s="1477"/>
    </row>
    <row r="1139" spans="1:26"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80" t="s">
        <v>2068</v>
      </c>
      <c r="G1139" s="1480" t="str">
        <f>IF(T1139&lt;&gt;"","G","")</f>
        <v/>
      </c>
      <c r="H1139" s="1480" t="s">
        <v>2063</v>
      </c>
      <c r="I1139" s="1427" t="str">
        <f t="shared" si="187"/>
        <v/>
      </c>
      <c r="J1139" s="1480" t="str">
        <f t="shared" si="195"/>
        <v/>
      </c>
      <c r="K1139" s="1480" t="str">
        <f t="shared" si="188"/>
        <v/>
      </c>
      <c r="L1139" s="906" t="s">
        <v>1506</v>
      </c>
      <c r="M1139" s="1480">
        <v>1122</v>
      </c>
      <c r="N1139" s="1480"/>
      <c r="O1139" s="1477"/>
      <c r="P1139" s="1477"/>
      <c r="Q1139" s="1477"/>
      <c r="R1139" s="1480" t="s">
        <v>1107</v>
      </c>
      <c r="S1139" s="1477"/>
      <c r="T1139" s="1480" t="str">
        <f t="shared" si="196"/>
        <v/>
      </c>
      <c r="U1139" s="1477"/>
      <c r="V1139" s="1477"/>
      <c r="W1139" s="1477"/>
      <c r="X1139" s="1477"/>
      <c r="Y1139" s="1477"/>
      <c r="Z1139" s="1477"/>
    </row>
    <row r="1140" spans="1:26"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80" t="str">
        <f>IF(T1140&lt;&gt;"","AW","")</f>
        <v/>
      </c>
      <c r="H1140" s="1480" t="s">
        <v>2063</v>
      </c>
      <c r="I1140" s="1427" t="str">
        <f t="shared" si="187"/>
        <v/>
      </c>
      <c r="J1140" s="1480" t="str">
        <f t="shared" si="195"/>
        <v/>
      </c>
      <c r="K1140" s="1480" t="str">
        <f t="shared" si="188"/>
        <v/>
      </c>
      <c r="L1140" s="906" t="s">
        <v>1507</v>
      </c>
      <c r="M1140" s="1480">
        <v>1123</v>
      </c>
      <c r="N1140" s="1480"/>
      <c r="O1140" s="1477"/>
      <c r="P1140" s="1477"/>
      <c r="Q1140" s="1477"/>
      <c r="R1140" s="1480" t="s">
        <v>1107</v>
      </c>
      <c r="S1140" s="1477"/>
      <c r="T1140" s="1477"/>
      <c r="U1140" s="1477"/>
      <c r="V1140" s="1477"/>
      <c r="W1140" s="1477"/>
      <c r="X1140" s="1477"/>
      <c r="Y1140" s="1477"/>
      <c r="Z1140" s="1477"/>
    </row>
    <row r="1141" spans="1:26"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80" t="s">
        <v>1401</v>
      </c>
      <c r="G1141" s="1480" t="str">
        <f>IF(T1141&lt;&gt;"","C","")</f>
        <v/>
      </c>
      <c r="H1141" s="1480" t="s">
        <v>2063</v>
      </c>
      <c r="I1141" s="1427" t="str">
        <f t="shared" si="187"/>
        <v/>
      </c>
      <c r="J1141" s="1480"/>
      <c r="K1141" s="1480" t="str">
        <f t="shared" si="188"/>
        <v/>
      </c>
      <c r="L1141" s="906" t="s">
        <v>1401</v>
      </c>
      <c r="M1141" s="1480">
        <v>1124</v>
      </c>
      <c r="N1141" s="1480"/>
      <c r="O1141" s="1477"/>
      <c r="P1141" s="1477"/>
      <c r="Q1141" s="1477"/>
      <c r="R1141" s="1480" t="s">
        <v>1107</v>
      </c>
      <c r="S1141" s="1477"/>
      <c r="T1141" s="1480" t="str">
        <f t="shared" ref="T1141:T1142" si="197">IF(Q$1134="Yes",32,"")</f>
        <v/>
      </c>
      <c r="U1141" s="1477"/>
      <c r="V1141" s="1477"/>
      <c r="W1141" s="1477"/>
      <c r="X1141" s="1477"/>
      <c r="Y1141" s="1477"/>
      <c r="Z1141" s="1477"/>
    </row>
    <row r="1142" spans="1:26"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80" t="s">
        <v>1402</v>
      </c>
      <c r="G1142" s="1480" t="str">
        <f>IF(T1142&lt;&gt;"","D","")</f>
        <v/>
      </c>
      <c r="H1142" s="1480" t="s">
        <v>2063</v>
      </c>
      <c r="I1142" s="1427" t="str">
        <f t="shared" si="187"/>
        <v/>
      </c>
      <c r="J1142" s="1480"/>
      <c r="K1142" s="1480" t="str">
        <f t="shared" si="188"/>
        <v/>
      </c>
      <c r="L1142" s="906" t="s">
        <v>1402</v>
      </c>
      <c r="M1142" s="1480">
        <v>1125</v>
      </c>
      <c r="N1142" s="1480"/>
      <c r="O1142" s="1477"/>
      <c r="P1142" s="1477"/>
      <c r="Q1142" s="1477"/>
      <c r="R1142" s="1480" t="s">
        <v>1107</v>
      </c>
      <c r="S1142" s="1477"/>
      <c r="T1142" s="1480" t="str">
        <f t="shared" si="197"/>
        <v/>
      </c>
      <c r="U1142" s="1477"/>
      <c r="V1142" s="1477"/>
      <c r="W1142" s="1477"/>
      <c r="X1142" s="1477"/>
      <c r="Y1142" s="1477"/>
      <c r="Z1142" s="1477"/>
    </row>
    <row r="1143" spans="1:26"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80" t="s">
        <v>1514</v>
      </c>
      <c r="G1143" s="1480" t="str">
        <f>IF(T1143&lt;&gt;"","AN","")</f>
        <v/>
      </c>
      <c r="H1143" s="1480" t="s">
        <v>2063</v>
      </c>
      <c r="I1143" s="1427" t="str">
        <f t="shared" si="187"/>
        <v/>
      </c>
      <c r="J1143" s="1480" t="str">
        <f t="shared" si="195"/>
        <v/>
      </c>
      <c r="K1143" s="1480" t="str">
        <f t="shared" si="188"/>
        <v/>
      </c>
      <c r="L1143" s="906" t="s">
        <v>1514</v>
      </c>
      <c r="M1143" s="1480">
        <v>1126</v>
      </c>
      <c r="N1143" s="1480"/>
      <c r="O1143" s="1477"/>
      <c r="P1143" s="1484" t="str" cm="1">
        <f t="array" aca="1" ref="P1143" ca="1">_xlfn.CONCAT("F",RIGHT(B1143, LEN(B1143) - MAX(IF(ISNUMBER(MID(B1143, ROW(INDIRECT("1:"&amp;LEN(B1143))), 1) *1)=FALSE, ROW(INDIRECT("1:"&amp;LEN(B1143))), 0))))</f>
        <v>F459</v>
      </c>
      <c r="Q1143" s="1480" t="str" cm="1">
        <f t="array" aca="1" ref="Q1143" ca="1">_xlfn.CONCAT("E",RIGHT(C1143, LEN(C1143) - MAX(IF(ISNUMBER(MID(C1143, ROW(INDIRECT("1:"&amp;LEN(C1143))), 1) *1)=FALSE, ROW(INDIRECT("1:"&amp;LEN(C1143))), 0))))</f>
        <v>E459</v>
      </c>
      <c r="R1143" s="1480" t="s">
        <v>1107</v>
      </c>
      <c r="S1143" s="1477"/>
      <c r="T1143" s="1480" t="str">
        <f>IF(Q$1134="Yes",32,"")</f>
        <v/>
      </c>
      <c r="U1143" s="1477"/>
      <c r="V1143" s="1477"/>
      <c r="W1143" s="1477"/>
      <c r="X1143" s="1477"/>
      <c r="Y1143" s="1477"/>
      <c r="Z1143" s="1477"/>
    </row>
    <row r="1144" spans="1:26"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80" t="s">
        <v>1511</v>
      </c>
      <c r="G1144" s="1480" t="str">
        <f>IF(T1144&lt;&gt;"","AL","")</f>
        <v/>
      </c>
      <c r="H1144" s="1480" t="s">
        <v>2063</v>
      </c>
      <c r="I1144" s="1427" t="str">
        <f t="shared" si="187"/>
        <v/>
      </c>
      <c r="J1144" s="1480" t="str">
        <f t="shared" si="195"/>
        <v/>
      </c>
      <c r="K1144" s="1480" t="str">
        <f t="shared" si="188"/>
        <v/>
      </c>
      <c r="L1144" s="906" t="s">
        <v>1511</v>
      </c>
      <c r="M1144" s="1480">
        <v>1127</v>
      </c>
      <c r="N1144" s="1480"/>
      <c r="O1144" s="1477"/>
      <c r="P1144" s="1477"/>
      <c r="Q1144" s="1477"/>
      <c r="R1144" s="1480" t="s">
        <v>1107</v>
      </c>
      <c r="S1144" s="1430"/>
      <c r="T1144" s="1480" t="str">
        <f>IF(Q$1134="Yes",32,"")</f>
        <v/>
      </c>
      <c r="U1144" s="1477"/>
      <c r="V1144" s="1477"/>
      <c r="W1144" s="1477"/>
      <c r="X1144" s="1477"/>
      <c r="Y1144" s="1477"/>
      <c r="Z1144" s="1477"/>
    </row>
    <row r="1145" spans="1:26"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80" t="s">
        <v>1985</v>
      </c>
      <c r="G1145" s="1480" t="str">
        <f>IF(T1145&lt;&gt;"","O","")</f>
        <v/>
      </c>
      <c r="H1145" s="1480" t="s">
        <v>2063</v>
      </c>
      <c r="I1145" s="1427" t="str">
        <f t="shared" si="187"/>
        <v/>
      </c>
      <c r="J1145" s="1480"/>
      <c r="K1145" s="1480" t="str">
        <f t="shared" si="188"/>
        <v/>
      </c>
      <c r="L1145" s="906" t="s">
        <v>1405</v>
      </c>
      <c r="M1145" s="1480">
        <v>1128</v>
      </c>
      <c r="N1145" s="1480"/>
      <c r="O1145" s="1477"/>
      <c r="P1145" s="1477"/>
      <c r="Q1145" s="1477"/>
      <c r="R1145" s="1480" t="s">
        <v>1107</v>
      </c>
      <c r="S1145" s="1430"/>
      <c r="T1145" s="1480" t="str">
        <f t="shared" ref="T1145" si="198">IF(Q$1134="Yes",32,"")</f>
        <v/>
      </c>
      <c r="U1145" s="1477"/>
      <c r="V1145" s="1477"/>
      <c r="W1145" s="1477"/>
      <c r="X1145" s="1477"/>
      <c r="Y1145" s="1477"/>
      <c r="Z1145" s="1477"/>
    </row>
    <row r="1146" spans="1:26"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87"/>
        <v/>
      </c>
      <c r="J1146" s="1480" t="str">
        <f t="shared" si="195"/>
        <v/>
      </c>
      <c r="K1146" s="1480" t="str">
        <f t="shared" si="188"/>
        <v/>
      </c>
      <c r="L1146" s="906" t="s">
        <v>1412</v>
      </c>
      <c r="M1146" s="1480">
        <v>1129</v>
      </c>
      <c r="N1146" s="1480"/>
      <c r="O1146" s="1477"/>
      <c r="P1146" s="1477"/>
      <c r="Q1146" s="1477"/>
      <c r="R1146" s="1480" t="s">
        <v>1107</v>
      </c>
      <c r="S1146" s="1430"/>
      <c r="T1146" s="1477"/>
      <c r="U1146" s="1477"/>
      <c r="V1146" s="1477"/>
      <c r="W1146" s="1477"/>
      <c r="X1146" s="1477"/>
      <c r="Y1146" s="1477"/>
      <c r="Z1146" s="1477"/>
    </row>
    <row r="1147" spans="1:26" x14ac:dyDescent="0.25">
      <c r="A1147" s="932" t="s">
        <v>1500</v>
      </c>
      <c r="B1147" s="906" t="str">
        <f ca="1">_xlfn.CONCAT(IFERROR(SUBSTITUTE(ADDRESS(1,MATCH(A1147,INDIRECT("'"&amp;E1147&amp;"'"&amp;"!A" &amp; $O$1134 + 5 &amp; ":Z" &amp; $O$1134 + 5),0),4),1,""),""),$O$1134+ 6)</f>
        <v>J455</v>
      </c>
      <c r="C1147" s="906" t="str">
        <f t="shared" ref="C1147:C1161" ca="1" si="199">IFERROR(SUBSTITUTE(ADDRESS(1,MATCH(A1147,INDIRECT("'"&amp;E1147&amp;"'"&amp;"!A" &amp; $O$1134 + 5 &amp; ":Z" &amp; $O$1134 + 5),0),4),1,""),"")</f>
        <v>J</v>
      </c>
      <c r="D1147" s="906" t="s">
        <v>1372</v>
      </c>
      <c r="E1147" s="906" t="s">
        <v>1535</v>
      </c>
      <c r="F1147" s="1192"/>
      <c r="G1147" s="906"/>
      <c r="H1147" s="906"/>
      <c r="I1147" s="1427" t="str">
        <f t="shared" si="187"/>
        <v/>
      </c>
      <c r="J1147" s="1480" t="str">
        <f t="shared" si="195"/>
        <v/>
      </c>
      <c r="K1147" s="1480" t="str">
        <f t="shared" si="188"/>
        <v/>
      </c>
      <c r="L1147" s="906" t="s">
        <v>1500</v>
      </c>
      <c r="M1147" s="1480">
        <v>1130</v>
      </c>
      <c r="N1147" s="1480"/>
      <c r="O1147" s="1477"/>
      <c r="P1147" s="1477"/>
      <c r="Q1147" s="1477"/>
      <c r="R1147" s="1480" t="s">
        <v>1107</v>
      </c>
      <c r="S1147" s="1477"/>
      <c r="T1147" s="1477"/>
      <c r="U1147" s="1477"/>
      <c r="V1147" s="1477"/>
      <c r="W1147" s="1477"/>
      <c r="X1147" s="1477"/>
      <c r="Y1147" s="1477"/>
      <c r="Z1147" s="1477"/>
    </row>
    <row r="1148" spans="1:26" x14ac:dyDescent="0.25">
      <c r="A1148" s="932" t="s">
        <v>730</v>
      </c>
      <c r="B1148" s="906" t="str">
        <f ca="1">_xlfn.CONCAT(IFERROR(SUBSTITUTE(ADDRESS(1,MATCH(A1148,INDIRECT("'"&amp;E1148&amp;"'"&amp;"!A" &amp; $O$1134 + 5 &amp; ":Z" &amp; $O$1134 + 5),0),4),1,""),""),$O$1134+ 6)</f>
        <v>L455</v>
      </c>
      <c r="C1148" s="906" t="str">
        <f t="shared" ca="1" si="199"/>
        <v>L</v>
      </c>
      <c r="D1148" s="906" t="s">
        <v>1372</v>
      </c>
      <c r="E1148" s="906" t="s">
        <v>1535</v>
      </c>
      <c r="F1148" s="1192"/>
      <c r="G1148" s="906"/>
      <c r="H1148" s="906"/>
      <c r="I1148" s="1427" t="str">
        <f t="shared" si="187"/>
        <v/>
      </c>
      <c r="J1148" s="1480" t="str">
        <f t="shared" si="195"/>
        <v/>
      </c>
      <c r="K1148" s="1480" t="str">
        <f t="shared" si="188"/>
        <v/>
      </c>
      <c r="L1148" s="906" t="s">
        <v>730</v>
      </c>
      <c r="M1148" s="1480">
        <v>1131</v>
      </c>
      <c r="N1148" s="1480"/>
      <c r="O1148" s="1477"/>
      <c r="P1148" s="1477"/>
      <c r="Q1148" s="1477"/>
      <c r="R1148" s="1480" t="s">
        <v>1107</v>
      </c>
      <c r="S1148" s="1477"/>
      <c r="T1148" s="1477"/>
      <c r="U1148" s="1477"/>
      <c r="V1148" s="1477"/>
      <c r="W1148" s="1477"/>
      <c r="X1148" s="1477"/>
      <c r="Y1148" s="1477"/>
      <c r="Z1148" s="1477"/>
    </row>
    <row r="1149" spans="1:26" x14ac:dyDescent="0.25">
      <c r="A1149" s="932" t="s">
        <v>1501</v>
      </c>
      <c r="B1149" s="906" t="str">
        <f ca="1">_xlfn.CONCAT(IFERROR(SUBSTITUTE(ADDRESS(1,MATCH(A1149,INDIRECT("'"&amp;E1149&amp;"'"&amp;"!A" &amp; $O$1134 + 5 &amp; ":Z" &amp; $O$1134 + 5),0),4),1,""),""),$O$1134+ 6)</f>
        <v>N455</v>
      </c>
      <c r="C1149" s="906" t="str">
        <f t="shared" ca="1" si="199"/>
        <v>N</v>
      </c>
      <c r="D1149" s="906" t="s">
        <v>1372</v>
      </c>
      <c r="E1149" s="906" t="s">
        <v>1535</v>
      </c>
      <c r="F1149" s="1192"/>
      <c r="G1149" s="906"/>
      <c r="H1149" s="906"/>
      <c r="I1149" s="1427" t="str">
        <f t="shared" si="187"/>
        <v/>
      </c>
      <c r="J1149" s="1480" t="str">
        <f t="shared" si="195"/>
        <v/>
      </c>
      <c r="K1149" s="1480" t="str">
        <f t="shared" si="188"/>
        <v/>
      </c>
      <c r="L1149" s="906" t="s">
        <v>1501</v>
      </c>
      <c r="M1149" s="1480">
        <v>1132</v>
      </c>
      <c r="N1149" s="1480"/>
      <c r="O1149" s="1477"/>
      <c r="P1149" s="1477"/>
      <c r="Q1149" s="1477"/>
      <c r="R1149" s="1480" t="s">
        <v>1107</v>
      </c>
      <c r="S1149" s="1477"/>
      <c r="T1149" s="1477"/>
      <c r="U1149" s="1477"/>
      <c r="V1149" s="1477"/>
      <c r="W1149" s="1477"/>
      <c r="X1149" s="1477"/>
      <c r="Y1149" s="1477"/>
      <c r="Z1149" s="1477"/>
    </row>
    <row r="1150" spans="1:26" x14ac:dyDescent="0.25">
      <c r="A1150" s="932" t="s">
        <v>1500</v>
      </c>
      <c r="B1150" s="906" t="str">
        <f ca="1">_xlfn.CONCAT(IFERROR(SUBSTITUTE(ADDRESS(1,MATCH(A1150,INDIRECT("'"&amp;E1150&amp;"'"&amp;"!A" &amp; $O$1134 + 5 &amp; ":Z" &amp; $O$1134 + 5),0),4),1,""),""),$O$1134+ 7)</f>
        <v>J456</v>
      </c>
      <c r="C1150" s="906" t="str">
        <f t="shared" ca="1" si="199"/>
        <v>J</v>
      </c>
      <c r="D1150" s="906" t="s">
        <v>1372</v>
      </c>
      <c r="E1150" s="906" t="s">
        <v>1535</v>
      </c>
      <c r="F1150" s="906"/>
      <c r="G1150" s="906"/>
      <c r="H1150" s="906"/>
      <c r="I1150" s="1427" t="str">
        <f t="shared" si="187"/>
        <v/>
      </c>
      <c r="J1150" s="1480" t="str">
        <f t="shared" si="195"/>
        <v/>
      </c>
      <c r="K1150" s="1480" t="str">
        <f t="shared" si="188"/>
        <v/>
      </c>
      <c r="L1150" s="906" t="s">
        <v>1500</v>
      </c>
      <c r="M1150" s="1480">
        <v>1133</v>
      </c>
      <c r="N1150" s="1480"/>
      <c r="O1150" s="1477"/>
      <c r="P1150" s="1477"/>
      <c r="Q1150" s="1477"/>
      <c r="R1150" s="1480" t="s">
        <v>1107</v>
      </c>
      <c r="S1150" s="1477"/>
      <c r="T1150" s="1477"/>
      <c r="U1150" s="1477"/>
      <c r="V1150" s="1477"/>
      <c r="W1150" s="1477"/>
      <c r="X1150" s="1477"/>
      <c r="Y1150" s="1477"/>
      <c r="Z1150" s="1477"/>
    </row>
    <row r="1151" spans="1:26" x14ac:dyDescent="0.25">
      <c r="A1151" s="932" t="s">
        <v>730</v>
      </c>
      <c r="B1151" s="906" t="str">
        <f ca="1">_xlfn.CONCAT(IFERROR(SUBSTITUTE(ADDRESS(1,MATCH(A1151,INDIRECT("'"&amp;E1151&amp;"'"&amp;"!A" &amp; $O$1134 + 5 &amp; ":Z" &amp; $O$1134 + 5),0),4),1,""),""),$O$1134+ 7)</f>
        <v>L456</v>
      </c>
      <c r="C1151" s="906" t="str">
        <f t="shared" ca="1" si="199"/>
        <v>L</v>
      </c>
      <c r="D1151" s="906" t="s">
        <v>1372</v>
      </c>
      <c r="E1151" s="906" t="s">
        <v>1535</v>
      </c>
      <c r="F1151" s="906"/>
      <c r="G1151" s="906"/>
      <c r="H1151" s="906"/>
      <c r="I1151" s="1427" t="str">
        <f t="shared" si="187"/>
        <v/>
      </c>
      <c r="J1151" s="1480" t="str">
        <f t="shared" si="195"/>
        <v/>
      </c>
      <c r="K1151" s="1480" t="str">
        <f t="shared" si="188"/>
        <v/>
      </c>
      <c r="L1151" s="906" t="s">
        <v>730</v>
      </c>
      <c r="M1151" s="1480">
        <v>1134</v>
      </c>
      <c r="N1151" s="1480"/>
      <c r="O1151" s="1477"/>
      <c r="P1151" s="1477"/>
      <c r="Q1151" s="1477"/>
      <c r="R1151" s="1480" t="s">
        <v>1107</v>
      </c>
      <c r="S1151" s="1477"/>
      <c r="T1151" s="1477"/>
      <c r="U1151" s="1477"/>
      <c r="V1151" s="1477"/>
      <c r="W1151" s="1477"/>
      <c r="X1151" s="1477"/>
      <c r="Y1151" s="1477"/>
      <c r="Z1151" s="1477"/>
    </row>
    <row r="1152" spans="1:26" x14ac:dyDescent="0.25">
      <c r="A1152" s="932" t="s">
        <v>1501</v>
      </c>
      <c r="B1152" s="906" t="str">
        <f ca="1">_xlfn.CONCAT(IFERROR(SUBSTITUTE(ADDRESS(1,MATCH(A1152,INDIRECT("'"&amp;E1152&amp;"'"&amp;"!A" &amp; $O$1134 + 5 &amp; ":Z" &amp; $O$1134 + 5),0),4),1,""),""),$O$1134+ 7)</f>
        <v>N456</v>
      </c>
      <c r="C1152" s="906" t="str">
        <f t="shared" ca="1" si="199"/>
        <v>N</v>
      </c>
      <c r="D1152" s="906" t="s">
        <v>1372</v>
      </c>
      <c r="E1152" s="906" t="s">
        <v>1535</v>
      </c>
      <c r="F1152" s="906"/>
      <c r="G1152" s="906"/>
      <c r="H1152" s="906"/>
      <c r="I1152" s="1427" t="str">
        <f t="shared" si="187"/>
        <v/>
      </c>
      <c r="J1152" s="1480" t="str">
        <f t="shared" si="195"/>
        <v/>
      </c>
      <c r="K1152" s="1480" t="str">
        <f t="shared" si="188"/>
        <v/>
      </c>
      <c r="L1152" s="906" t="s">
        <v>1501</v>
      </c>
      <c r="M1152" s="1480">
        <v>1135</v>
      </c>
      <c r="N1152" s="1480"/>
      <c r="O1152" s="1477"/>
      <c r="P1152" s="1477"/>
      <c r="Q1152" s="1477"/>
      <c r="R1152" s="1480" t="s">
        <v>1107</v>
      </c>
      <c r="S1152" s="1477"/>
      <c r="T1152" s="1477"/>
      <c r="U1152" s="1477"/>
      <c r="V1152" s="1477"/>
      <c r="W1152" s="1477"/>
      <c r="X1152" s="1477"/>
      <c r="Y1152" s="1477"/>
      <c r="Z1152" s="1477"/>
    </row>
    <row r="1153" spans="1:26" x14ac:dyDescent="0.25">
      <c r="A1153" s="932" t="s">
        <v>1500</v>
      </c>
      <c r="B1153" s="906" t="str">
        <f ca="1">_xlfn.CONCAT(IFERROR(SUBSTITUTE(ADDRESS(1,MATCH(A1153,INDIRECT("'"&amp;E1153&amp;"'"&amp;"!A" &amp; $O$1134 + 5 &amp; ":Z" &amp; $O$1134 + 5),0),4),1,""),""),$O$1134+ 8)</f>
        <v>J457</v>
      </c>
      <c r="C1153" s="906" t="str">
        <f t="shared" ca="1" si="199"/>
        <v>J</v>
      </c>
      <c r="D1153" s="906" t="s">
        <v>1372</v>
      </c>
      <c r="E1153" s="906" t="s">
        <v>1535</v>
      </c>
      <c r="F1153" s="906"/>
      <c r="G1153" s="906"/>
      <c r="H1153" s="906"/>
      <c r="I1153" s="1427" t="str">
        <f t="shared" si="187"/>
        <v/>
      </c>
      <c r="J1153" s="1480" t="str">
        <f t="shared" si="195"/>
        <v/>
      </c>
      <c r="K1153" s="1480" t="str">
        <f t="shared" si="188"/>
        <v/>
      </c>
      <c r="L1153" s="906" t="s">
        <v>1500</v>
      </c>
      <c r="M1153" s="1480">
        <v>1136</v>
      </c>
      <c r="N1153" s="1480"/>
      <c r="O1153" s="1477"/>
      <c r="P1153" s="1477"/>
      <c r="Q1153" s="1477"/>
      <c r="R1153" s="1480" t="s">
        <v>1107</v>
      </c>
      <c r="S1153" s="1477"/>
      <c r="T1153" s="1477"/>
      <c r="U1153" s="1477"/>
      <c r="V1153" s="1477"/>
      <c r="W1153" s="1477"/>
      <c r="X1153" s="1477"/>
      <c r="Y1153" s="1477"/>
      <c r="Z1153" s="1477"/>
    </row>
    <row r="1154" spans="1:26" x14ac:dyDescent="0.25">
      <c r="A1154" s="932" t="s">
        <v>730</v>
      </c>
      <c r="B1154" s="906" t="str">
        <f ca="1">_xlfn.CONCAT(IFERROR(SUBSTITUTE(ADDRESS(1,MATCH(A1154,INDIRECT("'"&amp;E1154&amp;"'"&amp;"!A" &amp; $O$1134 + 5 &amp; ":Z" &amp; $O$1134 + 5),0),4),1,""),""),$O$1134+ 8)</f>
        <v>L457</v>
      </c>
      <c r="C1154" s="906" t="str">
        <f t="shared" ca="1" si="199"/>
        <v>L</v>
      </c>
      <c r="D1154" s="906" t="s">
        <v>1372</v>
      </c>
      <c r="E1154" s="906" t="s">
        <v>1535</v>
      </c>
      <c r="F1154" s="906"/>
      <c r="G1154" s="906"/>
      <c r="H1154" s="906"/>
      <c r="I1154" s="1427" t="str">
        <f t="shared" si="187"/>
        <v/>
      </c>
      <c r="J1154" s="1480" t="str">
        <f t="shared" si="195"/>
        <v/>
      </c>
      <c r="K1154" s="1480" t="str">
        <f t="shared" si="188"/>
        <v/>
      </c>
      <c r="L1154" s="906" t="s">
        <v>730</v>
      </c>
      <c r="M1154" s="1480">
        <v>1137</v>
      </c>
      <c r="N1154" s="1480"/>
      <c r="O1154" s="1477"/>
      <c r="P1154" s="1477"/>
      <c r="Q1154" s="1477"/>
      <c r="R1154" s="1480" t="s">
        <v>1107</v>
      </c>
      <c r="S1154" s="1477"/>
      <c r="T1154" s="1477"/>
      <c r="U1154" s="1477"/>
      <c r="V1154" s="1477"/>
      <c r="W1154" s="1477"/>
      <c r="X1154" s="1477"/>
      <c r="Y1154" s="1477"/>
      <c r="Z1154" s="1477"/>
    </row>
    <row r="1155" spans="1:26" x14ac:dyDescent="0.25">
      <c r="A1155" s="932" t="s">
        <v>1501</v>
      </c>
      <c r="B1155" s="906" t="str">
        <f ca="1">_xlfn.CONCAT(IFERROR(SUBSTITUTE(ADDRESS(1,MATCH(A1155,INDIRECT("'"&amp;E1155&amp;"'"&amp;"!A" &amp; $O$1134 + 5 &amp; ":Z" &amp; $O$1134 + 5),0),4),1,""),""),$O$1134+ 8)</f>
        <v>N457</v>
      </c>
      <c r="C1155" s="906" t="str">
        <f t="shared" ca="1" si="199"/>
        <v>N</v>
      </c>
      <c r="D1155" s="906" t="s">
        <v>1372</v>
      </c>
      <c r="E1155" s="906" t="s">
        <v>1535</v>
      </c>
      <c r="F1155" s="906"/>
      <c r="G1155" s="906"/>
      <c r="H1155" s="906"/>
      <c r="I1155" s="1427" t="str">
        <f t="shared" si="187"/>
        <v/>
      </c>
      <c r="J1155" s="1480" t="str">
        <f t="shared" si="195"/>
        <v/>
      </c>
      <c r="K1155" s="1480" t="str">
        <f t="shared" si="188"/>
        <v/>
      </c>
      <c r="L1155" s="906" t="s">
        <v>1501</v>
      </c>
      <c r="M1155" s="1480">
        <v>1138</v>
      </c>
      <c r="N1155" s="1480"/>
      <c r="O1155" s="1477"/>
      <c r="P1155" s="1477"/>
      <c r="Q1155" s="1477"/>
      <c r="R1155" s="1480" t="s">
        <v>1107</v>
      </c>
      <c r="S1155" s="1477"/>
      <c r="T1155" s="1477"/>
      <c r="U1155" s="1477"/>
      <c r="V1155" s="1477"/>
      <c r="W1155" s="1477"/>
      <c r="X1155" s="1477"/>
      <c r="Y1155" s="1477"/>
      <c r="Z1155" s="1477"/>
    </row>
    <row r="1156" spans="1:26" x14ac:dyDescent="0.25">
      <c r="A1156" s="932" t="s">
        <v>1500</v>
      </c>
      <c r="B1156" s="906" t="str">
        <f ca="1">_xlfn.CONCAT(IFERROR(SUBSTITUTE(ADDRESS(1,MATCH(A1156,INDIRECT("'"&amp;E1156&amp;"'"&amp;"!A" &amp; $O$1134 + 5 &amp; ":Z" &amp; $O$1134 + 5),0),4),1,""),""),$O$1134+ 9)</f>
        <v>J458</v>
      </c>
      <c r="C1156" s="906" t="str">
        <f t="shared" ca="1" si="199"/>
        <v>J</v>
      </c>
      <c r="D1156" s="906" t="s">
        <v>1372</v>
      </c>
      <c r="E1156" s="906" t="s">
        <v>1535</v>
      </c>
      <c r="F1156" s="906"/>
      <c r="G1156" s="906"/>
      <c r="H1156" s="906"/>
      <c r="I1156" s="1427" t="str">
        <f t="shared" ref="I1156:I1219" si="200">IF(J1156&lt;&gt;"",A1156,"")</f>
        <v/>
      </c>
      <c r="J1156" s="1480" t="str">
        <f t="shared" si="195"/>
        <v/>
      </c>
      <c r="K1156" s="1480" t="str">
        <f t="shared" ref="K1156:K1219" si="201">IF(J1156&lt;&gt;"",E1156,"")</f>
        <v/>
      </c>
      <c r="L1156" s="906" t="s">
        <v>1500</v>
      </c>
      <c r="M1156" s="1480">
        <v>1139</v>
      </c>
      <c r="N1156" s="1480"/>
      <c r="O1156" s="1477"/>
      <c r="P1156" s="1477"/>
      <c r="Q1156" s="1477"/>
      <c r="R1156" s="1480" t="s">
        <v>1107</v>
      </c>
      <c r="S1156" s="1477"/>
      <c r="T1156" s="1477"/>
      <c r="U1156" s="1477"/>
      <c r="V1156" s="1477"/>
      <c r="W1156" s="1477"/>
      <c r="X1156" s="1477"/>
      <c r="Y1156" s="1477"/>
      <c r="Z1156" s="1477"/>
    </row>
    <row r="1157" spans="1:26" x14ac:dyDescent="0.25">
      <c r="A1157" s="932" t="s">
        <v>730</v>
      </c>
      <c r="B1157" s="906" t="str">
        <f ca="1">_xlfn.CONCAT(IFERROR(SUBSTITUTE(ADDRESS(1,MATCH(A1157,INDIRECT("'"&amp;E1157&amp;"'"&amp;"!A" &amp; $O$1134 + 5 &amp; ":Z" &amp; $O$1134 + 5),0),4),1,""),""),$O$1134+ 9)</f>
        <v>L458</v>
      </c>
      <c r="C1157" s="906" t="str">
        <f t="shared" ca="1" si="199"/>
        <v>L</v>
      </c>
      <c r="D1157" s="906" t="s">
        <v>1372</v>
      </c>
      <c r="E1157" s="906" t="s">
        <v>1535</v>
      </c>
      <c r="F1157" s="906"/>
      <c r="G1157" s="906"/>
      <c r="H1157" s="906"/>
      <c r="I1157" s="1427" t="str">
        <f t="shared" si="200"/>
        <v/>
      </c>
      <c r="J1157" s="1480" t="str">
        <f t="shared" si="195"/>
        <v/>
      </c>
      <c r="K1157" s="1480" t="str">
        <f t="shared" si="201"/>
        <v/>
      </c>
      <c r="L1157" s="906" t="s">
        <v>730</v>
      </c>
      <c r="M1157" s="1480">
        <v>1140</v>
      </c>
      <c r="N1157" s="1480"/>
      <c r="O1157" s="1477"/>
      <c r="P1157" s="1477"/>
      <c r="Q1157" s="1477"/>
      <c r="R1157" s="1480" t="s">
        <v>1107</v>
      </c>
      <c r="S1157" s="1477"/>
      <c r="T1157" s="1477"/>
      <c r="U1157" s="1477"/>
      <c r="V1157" s="1477"/>
      <c r="W1157" s="1477"/>
      <c r="X1157" s="1477"/>
      <c r="Y1157" s="1477"/>
      <c r="Z1157" s="1477"/>
    </row>
    <row r="1158" spans="1:26" x14ac:dyDescent="0.25">
      <c r="A1158" s="932" t="s">
        <v>1501</v>
      </c>
      <c r="B1158" s="906" t="str">
        <f ca="1">_xlfn.CONCAT(IFERROR(SUBSTITUTE(ADDRESS(1,MATCH(A1158,INDIRECT("'"&amp;E1158&amp;"'"&amp;"!A" &amp; $O$1134 + 5 &amp; ":Z" &amp; $O$1134 + 5),0),4),1,""),""),$O$1134+ 9)</f>
        <v>N458</v>
      </c>
      <c r="C1158" s="906" t="str">
        <f t="shared" ca="1" si="199"/>
        <v>N</v>
      </c>
      <c r="D1158" s="906" t="s">
        <v>1372</v>
      </c>
      <c r="E1158" s="906" t="s">
        <v>1535</v>
      </c>
      <c r="F1158" s="906"/>
      <c r="G1158" s="906"/>
      <c r="H1158" s="906"/>
      <c r="I1158" s="1427" t="str">
        <f t="shared" si="200"/>
        <v/>
      </c>
      <c r="J1158" s="1480" t="str">
        <f t="shared" si="195"/>
        <v/>
      </c>
      <c r="K1158" s="1480" t="str">
        <f t="shared" si="201"/>
        <v/>
      </c>
      <c r="L1158" s="906" t="s">
        <v>1501</v>
      </c>
      <c r="M1158" s="1480">
        <v>1141</v>
      </c>
      <c r="N1158" s="1480"/>
      <c r="O1158" s="1477"/>
      <c r="P1158" s="1477"/>
      <c r="Q1158" s="1477"/>
      <c r="R1158" s="1480" t="s">
        <v>1107</v>
      </c>
      <c r="S1158" s="1477"/>
      <c r="T1158" s="1477"/>
      <c r="U1158" s="1477"/>
      <c r="V1158" s="1477"/>
      <c r="W1158" s="1477"/>
      <c r="X1158" s="1477"/>
      <c r="Y1158" s="1477"/>
      <c r="Z1158" s="1477"/>
    </row>
    <row r="1159" spans="1:26" x14ac:dyDescent="0.25">
      <c r="A1159" s="932" t="s">
        <v>1500</v>
      </c>
      <c r="B1159" s="906" t="str">
        <f ca="1">_xlfn.CONCAT(IFERROR(SUBSTITUTE(ADDRESS(1,MATCH(A1159,INDIRECT("'"&amp;E1159&amp;"'"&amp;"!A" &amp; $O$1134 + 5 &amp; ":Z" &amp; $O$1134 + 5),0),4),1,""),""),$O$1134+ 10)</f>
        <v>J459</v>
      </c>
      <c r="C1159" s="906" t="str">
        <f t="shared" ca="1" si="199"/>
        <v>J</v>
      </c>
      <c r="D1159" s="906" t="s">
        <v>1372</v>
      </c>
      <c r="E1159" s="906" t="s">
        <v>1535</v>
      </c>
      <c r="F1159" s="906"/>
      <c r="G1159" s="906"/>
      <c r="H1159" s="906"/>
      <c r="I1159" s="1427" t="str">
        <f t="shared" si="200"/>
        <v/>
      </c>
      <c r="J1159" s="1480" t="str">
        <f t="shared" si="195"/>
        <v/>
      </c>
      <c r="K1159" s="1480" t="str">
        <f t="shared" si="201"/>
        <v/>
      </c>
      <c r="L1159" s="906" t="s">
        <v>1500</v>
      </c>
      <c r="M1159" s="1480">
        <v>1142</v>
      </c>
      <c r="N1159" s="1480"/>
      <c r="O1159" s="1477"/>
      <c r="P1159" s="1477"/>
      <c r="Q1159" s="1477"/>
      <c r="R1159" s="1480" t="s">
        <v>1107</v>
      </c>
      <c r="S1159" s="1477"/>
      <c r="T1159" s="1477"/>
      <c r="U1159" s="1477"/>
      <c r="V1159" s="1477"/>
      <c r="W1159" s="1477"/>
      <c r="X1159" s="1477"/>
      <c r="Y1159" s="1477"/>
      <c r="Z1159" s="1477"/>
    </row>
    <row r="1160" spans="1:26" x14ac:dyDescent="0.25">
      <c r="A1160" s="932" t="s">
        <v>730</v>
      </c>
      <c r="B1160" s="906" t="str">
        <f ca="1">_xlfn.CONCAT(IFERROR(SUBSTITUTE(ADDRESS(1,MATCH(A1160,INDIRECT("'"&amp;E1160&amp;"'"&amp;"!A" &amp; $O$1134 + 5 &amp; ":Z" &amp; $O$1134 + 5),0),4),1,""),""),$O$1134+ 10)</f>
        <v>L459</v>
      </c>
      <c r="C1160" s="906" t="str">
        <f t="shared" ca="1" si="199"/>
        <v>L</v>
      </c>
      <c r="D1160" s="906" t="s">
        <v>1372</v>
      </c>
      <c r="E1160" s="906" t="s">
        <v>1535</v>
      </c>
      <c r="F1160" s="906"/>
      <c r="G1160" s="906"/>
      <c r="H1160" s="906"/>
      <c r="I1160" s="1427" t="str">
        <f t="shared" si="200"/>
        <v/>
      </c>
      <c r="J1160" s="1480" t="str">
        <f t="shared" si="195"/>
        <v/>
      </c>
      <c r="K1160" s="1480" t="str">
        <f t="shared" si="201"/>
        <v/>
      </c>
      <c r="L1160" s="906" t="s">
        <v>730</v>
      </c>
      <c r="M1160" s="1480">
        <v>1143</v>
      </c>
      <c r="N1160" s="1480"/>
      <c r="O1160" s="1477"/>
      <c r="P1160" s="1477"/>
      <c r="Q1160" s="1477"/>
      <c r="R1160" s="1480" t="s">
        <v>1107</v>
      </c>
      <c r="S1160" s="1477"/>
      <c r="T1160" s="1477"/>
      <c r="U1160" s="1477"/>
      <c r="V1160" s="1477"/>
      <c r="W1160" s="1477"/>
      <c r="X1160" s="1477"/>
      <c r="Y1160" s="1477"/>
      <c r="Z1160" s="1477"/>
    </row>
    <row r="1161" spans="1:26" x14ac:dyDescent="0.25">
      <c r="A1161" s="932" t="s">
        <v>1501</v>
      </c>
      <c r="B1161" s="906" t="str">
        <f ca="1">_xlfn.CONCAT(IFERROR(SUBSTITUTE(ADDRESS(1,MATCH(A1161,INDIRECT("'"&amp;E1161&amp;"'"&amp;"!A" &amp; $O$1134 + 5 &amp; ":Z" &amp; $O$1134 + 5),0),4),1,""),""),$O$1134+ 10)</f>
        <v>N459</v>
      </c>
      <c r="C1161" s="906" t="str">
        <f t="shared" ca="1" si="199"/>
        <v>N</v>
      </c>
      <c r="D1161" s="906" t="s">
        <v>1372</v>
      </c>
      <c r="E1161" s="906" t="s">
        <v>1535</v>
      </c>
      <c r="F1161" s="906"/>
      <c r="G1161" s="906"/>
      <c r="H1161" s="906"/>
      <c r="I1161" s="1427" t="str">
        <f t="shared" si="200"/>
        <v/>
      </c>
      <c r="J1161" s="1480" t="str">
        <f t="shared" si="195"/>
        <v/>
      </c>
      <c r="K1161" s="1480" t="str">
        <f t="shared" si="201"/>
        <v/>
      </c>
      <c r="L1161" s="906" t="s">
        <v>1501</v>
      </c>
      <c r="M1161" s="1480">
        <v>1144</v>
      </c>
      <c r="N1161" s="1480"/>
      <c r="O1161" s="1477"/>
      <c r="P1161" s="1477"/>
      <c r="Q1161" s="1477"/>
      <c r="R1161" s="1480" t="s">
        <v>1107</v>
      </c>
      <c r="S1161" s="1477"/>
      <c r="T1161" s="1477"/>
      <c r="U1161" s="1477"/>
      <c r="V1161" s="1477"/>
      <c r="W1161" s="1477"/>
      <c r="X1161" s="1477"/>
      <c r="Y1161" s="1477"/>
      <c r="Z1161" s="1477"/>
    </row>
    <row r="1162" spans="1:26"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80" t="s">
        <v>1510</v>
      </c>
      <c r="G1162" s="1480" t="str">
        <f>IF(T1162&lt;&gt;"","A","")</f>
        <v/>
      </c>
      <c r="H1162" s="1480" t="s">
        <v>2063</v>
      </c>
      <c r="I1162" s="1427" t="str">
        <f t="shared" si="200"/>
        <v/>
      </c>
      <c r="J1162" s="1480"/>
      <c r="K1162" s="1480" t="str">
        <f t="shared" si="201"/>
        <v/>
      </c>
      <c r="L1162" s="906" t="s">
        <v>1510</v>
      </c>
      <c r="M1162" s="1480">
        <v>1145</v>
      </c>
      <c r="N1162" s="1480"/>
      <c r="O1162" s="1477" t="s">
        <v>728</v>
      </c>
      <c r="P1162" s="1477"/>
      <c r="Q1162" s="1477"/>
      <c r="R1162" s="1480" t="s">
        <v>1107</v>
      </c>
      <c r="S1162" s="1477"/>
      <c r="T1162" s="1480" t="str">
        <f>IF(Q$1163="Yes",33,"")</f>
        <v/>
      </c>
      <c r="U1162" s="1477"/>
      <c r="V1162" s="1477"/>
      <c r="W1162" s="1477"/>
      <c r="X1162" s="1477"/>
      <c r="Y1162" s="1477"/>
      <c r="Z1162" s="1477"/>
    </row>
    <row r="1163" spans="1:26"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80"/>
      <c r="G1163" s="1480"/>
      <c r="H1163" s="1480"/>
      <c r="I1163" s="1427" t="str">
        <f t="shared" si="200"/>
        <v/>
      </c>
      <c r="J1163" s="1480" t="str">
        <f t="shared" ref="J1163:J1186" si="202">IF(M1163&lt;&gt;"",IF($Q$1163="Yes",Q$1&amp;M1163,""))</f>
        <v/>
      </c>
      <c r="K1163" s="1480" t="str">
        <f t="shared" si="201"/>
        <v/>
      </c>
      <c r="L1163" s="906" t="s">
        <v>1724</v>
      </c>
      <c r="M1163" s="1480">
        <v>1146</v>
      </c>
      <c r="N1163" s="1480"/>
      <c r="O1163" s="1477">
        <f>'Configurable Tab'!H35</f>
        <v>463</v>
      </c>
      <c r="P1163" s="1477"/>
      <c r="Q1163" s="1477" t="s">
        <v>651</v>
      </c>
      <c r="R1163" s="1480" t="s">
        <v>1107</v>
      </c>
      <c r="S1163" s="1430"/>
      <c r="T1163" s="1480" t="str">
        <f t="shared" ref="T1163:T1168" si="203">IF(Q$1163="Yes",33,"")</f>
        <v/>
      </c>
      <c r="U1163" s="1477"/>
      <c r="V1163" s="1477"/>
      <c r="W1163" s="1477"/>
      <c r="X1163" s="1477"/>
      <c r="Y1163" s="1477"/>
      <c r="Z1163" s="1477"/>
    </row>
    <row r="1164" spans="1:26"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80" t="s">
        <v>1399</v>
      </c>
      <c r="G1164" s="1480" t="str">
        <f>IF(T1164&lt;&gt;"","B","")</f>
        <v/>
      </c>
      <c r="H1164" s="1480" t="s">
        <v>2063</v>
      </c>
      <c r="I1164" s="1427" t="str">
        <f t="shared" si="200"/>
        <v/>
      </c>
      <c r="J1164" s="1480"/>
      <c r="K1164" s="1480" t="str">
        <f t="shared" si="201"/>
        <v/>
      </c>
      <c r="L1164" s="906" t="s">
        <v>1399</v>
      </c>
      <c r="M1164" s="1480">
        <v>1147</v>
      </c>
      <c r="N1164" s="1480"/>
      <c r="O1164" s="1477" t="s">
        <v>729</v>
      </c>
      <c r="P1164" s="1477"/>
      <c r="Q1164" s="1477"/>
      <c r="R1164" s="1480" t="s">
        <v>1107</v>
      </c>
      <c r="S1164" s="1477"/>
      <c r="T1164" s="1480" t="str">
        <f t="shared" si="203"/>
        <v/>
      </c>
      <c r="U1164" s="1477"/>
      <c r="V1164" s="1477"/>
      <c r="W1164" s="1477"/>
      <c r="X1164" s="1477"/>
      <c r="Y1164" s="1477"/>
      <c r="Z1164" s="1477"/>
    </row>
    <row r="1165" spans="1:26"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80" t="s">
        <v>2065</v>
      </c>
      <c r="G1165" s="1480" t="str">
        <f>IF(T1165&lt;&gt;"","I","")</f>
        <v/>
      </c>
      <c r="H1165" s="1480" t="s">
        <v>2063</v>
      </c>
      <c r="I1165" s="1427" t="str">
        <f t="shared" si="200"/>
        <v/>
      </c>
      <c r="J1165" s="1480" t="str">
        <f t="shared" si="202"/>
        <v/>
      </c>
      <c r="K1165" s="1480" t="str">
        <f t="shared" si="201"/>
        <v/>
      </c>
      <c r="L1165" s="906" t="s">
        <v>1397</v>
      </c>
      <c r="M1165" s="1480">
        <v>1148</v>
      </c>
      <c r="N1165" s="1480"/>
      <c r="O1165" s="1477">
        <f>'Configurable Tab'!I35</f>
        <v>476</v>
      </c>
      <c r="P1165" s="1477"/>
      <c r="Q1165" s="1477"/>
      <c r="R1165" s="1480" t="s">
        <v>1107</v>
      </c>
      <c r="S1165" s="1477"/>
      <c r="T1165" s="1480" t="str">
        <f t="shared" si="203"/>
        <v/>
      </c>
      <c r="U1165" s="1477"/>
      <c r="V1165" s="1477"/>
      <c r="W1165" s="1477"/>
      <c r="X1165" s="1477"/>
      <c r="Y1165" s="1477"/>
      <c r="Z1165" s="1477"/>
    </row>
    <row r="1166" spans="1:26"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80" t="s">
        <v>1398</v>
      </c>
      <c r="G1166" s="1480" t="str">
        <f>IF(T1166&lt;&gt;"",IF(Q1164="Credit Memo","J",IF(Q1164="Check","K","")),"")</f>
        <v/>
      </c>
      <c r="H1166" s="1480" t="s">
        <v>2063</v>
      </c>
      <c r="I1166" s="1427" t="str">
        <f t="shared" si="200"/>
        <v/>
      </c>
      <c r="J1166" s="1480" t="str">
        <f t="shared" si="202"/>
        <v/>
      </c>
      <c r="K1166" s="1480" t="str">
        <f t="shared" si="201"/>
        <v/>
      </c>
      <c r="L1166" s="906" t="s">
        <v>1398</v>
      </c>
      <c r="M1166" s="1480">
        <v>1149</v>
      </c>
      <c r="N1166" s="1480"/>
      <c r="O1166" s="1477" t="s">
        <v>1679</v>
      </c>
      <c r="P1166" s="1477"/>
      <c r="Q1166" s="1477"/>
      <c r="R1166" s="1480" t="s">
        <v>1107</v>
      </c>
      <c r="S1166" s="1477"/>
      <c r="T1166" s="1480" t="str">
        <f t="shared" si="203"/>
        <v/>
      </c>
      <c r="U1166" s="1477"/>
      <c r="V1166" s="1477"/>
      <c r="W1166" s="1477"/>
      <c r="X1166" s="1477"/>
      <c r="Y1166" s="1477"/>
      <c r="Z1166" s="1477"/>
    </row>
    <row r="1167" spans="1:26"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80" t="s">
        <v>1401</v>
      </c>
      <c r="G1167" s="1480" t="str">
        <f>IF(T1167&lt;&gt;"","C","")</f>
        <v/>
      </c>
      <c r="H1167" s="1480" t="s">
        <v>2063</v>
      </c>
      <c r="I1167" s="1427" t="str">
        <f t="shared" si="200"/>
        <v/>
      </c>
      <c r="J1167" s="1480"/>
      <c r="K1167" s="1480" t="str">
        <f t="shared" si="201"/>
        <v/>
      </c>
      <c r="L1167" s="906" t="s">
        <v>1401</v>
      </c>
      <c r="M1167" s="1480">
        <v>1150</v>
      </c>
      <c r="N1167" s="1480"/>
      <c r="O1167" s="1477"/>
      <c r="P1167" s="1477"/>
      <c r="Q1167" s="1477"/>
      <c r="R1167" s="1480" t="s">
        <v>1107</v>
      </c>
      <c r="S1167" s="1477"/>
      <c r="T1167" s="1480" t="str">
        <f t="shared" si="203"/>
        <v/>
      </c>
      <c r="U1167" s="1477"/>
      <c r="V1167" s="1477"/>
      <c r="W1167" s="1477"/>
      <c r="X1167" s="1477"/>
      <c r="Y1167" s="1477"/>
      <c r="Z1167" s="1477"/>
    </row>
    <row r="1168" spans="1:26"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80" t="s">
        <v>1402</v>
      </c>
      <c r="G1168" s="1480" t="str">
        <f>IF(T1168&lt;&gt;"","D","")</f>
        <v/>
      </c>
      <c r="H1168" s="1480" t="s">
        <v>2063</v>
      </c>
      <c r="I1168" s="1427" t="str">
        <f t="shared" si="200"/>
        <v/>
      </c>
      <c r="J1168" s="1480"/>
      <c r="K1168" s="1480" t="str">
        <f t="shared" si="201"/>
        <v/>
      </c>
      <c r="L1168" s="906" t="s">
        <v>1402</v>
      </c>
      <c r="M1168" s="1480">
        <v>1151</v>
      </c>
      <c r="N1168" s="1480"/>
      <c r="O1168" s="1477"/>
      <c r="P1168" s="1477"/>
      <c r="Q1168" s="1477"/>
      <c r="R1168" s="1480" t="s">
        <v>1107</v>
      </c>
      <c r="S1168" s="1477"/>
      <c r="T1168" s="1480" t="str">
        <f t="shared" si="203"/>
        <v/>
      </c>
      <c r="U1168" s="1477"/>
      <c r="V1168" s="1477"/>
      <c r="W1168" s="1477"/>
      <c r="X1168" s="1477"/>
      <c r="Y1168" s="1477"/>
      <c r="Z1168" s="1477"/>
    </row>
    <row r="1169" spans="1:26"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80" t="s">
        <v>1514</v>
      </c>
      <c r="G1169" s="1480" t="str">
        <f>IF(T1169&lt;&gt;"","AN","")</f>
        <v/>
      </c>
      <c r="H1169" s="1480" t="s">
        <v>2063</v>
      </c>
      <c r="I1169" s="1427" t="str">
        <f t="shared" si="200"/>
        <v/>
      </c>
      <c r="J1169" s="1480" t="str">
        <f t="shared" si="202"/>
        <v/>
      </c>
      <c r="K1169" s="1480" t="str">
        <f t="shared" si="201"/>
        <v/>
      </c>
      <c r="L1169" s="906" t="s">
        <v>1514</v>
      </c>
      <c r="M1169" s="1480">
        <v>1152</v>
      </c>
      <c r="N1169" s="1480"/>
      <c r="O1169" s="1477"/>
      <c r="P1169" s="1484" t="str" cm="1">
        <f t="array" aca="1" ref="P1169" ca="1">_xlfn.CONCAT("F",RIGHT(B1169, LEN(B1169) - MAX(IF(ISNUMBER(MID(B1169, ROW(INDIRECT("1:"&amp;LEN(B1169))), 1) *1)=FALSE, ROW(INDIRECT("1:"&amp;LEN(B1169))), 0))))</f>
        <v>F473</v>
      </c>
      <c r="Q1169" s="1480" t="str" cm="1">
        <f t="array" aca="1" ref="Q1169" ca="1">_xlfn.CONCAT("E",RIGHT(C1169, LEN(C1169) - MAX(IF(ISNUMBER(MID(C1169, ROW(INDIRECT("1:"&amp;LEN(C1169))), 1) *1)=FALSE, ROW(INDIRECT("1:"&amp;LEN(C1169))), 0))))</f>
        <v>E473</v>
      </c>
      <c r="R1169" s="1480" t="s">
        <v>1107</v>
      </c>
      <c r="S1169" s="1477"/>
      <c r="T1169" s="1480" t="str">
        <f>IF(Q$1163="Yes",33,"")</f>
        <v/>
      </c>
      <c r="U1169" s="1477"/>
      <c r="V1169" s="1477"/>
      <c r="W1169" s="1477"/>
      <c r="X1169" s="1477"/>
      <c r="Y1169" s="1477"/>
      <c r="Z1169" s="1477"/>
    </row>
    <row r="1170" spans="1:26"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80" t="s">
        <v>1511</v>
      </c>
      <c r="G1170" s="1480" t="str">
        <f>IF(T1170&lt;&gt;"","AL","")</f>
        <v/>
      </c>
      <c r="H1170" s="1480" t="s">
        <v>2063</v>
      </c>
      <c r="I1170" s="1427" t="str">
        <f t="shared" si="200"/>
        <v/>
      </c>
      <c r="J1170" s="1480" t="str">
        <f t="shared" si="202"/>
        <v/>
      </c>
      <c r="K1170" s="1480" t="str">
        <f t="shared" si="201"/>
        <v/>
      </c>
      <c r="L1170" s="906" t="s">
        <v>1511</v>
      </c>
      <c r="M1170" s="1480">
        <v>1153</v>
      </c>
      <c r="N1170" s="1480"/>
      <c r="O1170" s="1477"/>
      <c r="P1170" s="1477"/>
      <c r="Q1170" s="1477"/>
      <c r="R1170" s="1480" t="s">
        <v>1107</v>
      </c>
      <c r="S1170" s="1477"/>
      <c r="T1170" s="1480" t="str">
        <f>IF(Q$1163="Yes",33,"")</f>
        <v/>
      </c>
      <c r="U1170" s="1477"/>
      <c r="V1170" s="1477"/>
      <c r="W1170" s="1477"/>
      <c r="X1170" s="1477"/>
      <c r="Y1170" s="1477"/>
      <c r="Z1170" s="1477"/>
    </row>
    <row r="1171" spans="1:26"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200"/>
        <v/>
      </c>
      <c r="J1171" s="1480" t="str">
        <f t="shared" si="202"/>
        <v/>
      </c>
      <c r="K1171" s="1480" t="str">
        <f t="shared" si="201"/>
        <v/>
      </c>
      <c r="L1171" s="906" t="s">
        <v>1412</v>
      </c>
      <c r="M1171" s="1480">
        <v>1154</v>
      </c>
      <c r="N1171" s="1480"/>
      <c r="O1171" s="1477"/>
      <c r="P1171" s="1477"/>
      <c r="Q1171" s="1477"/>
      <c r="R1171" s="1480" t="s">
        <v>1107</v>
      </c>
      <c r="S1171" s="1477"/>
      <c r="T1171" s="1477"/>
      <c r="U1171" s="1477"/>
      <c r="V1171" s="1477"/>
      <c r="W1171" s="1477"/>
      <c r="X1171" s="1477"/>
      <c r="Y1171" s="1477"/>
      <c r="Z1171" s="1477"/>
    </row>
    <row r="1172" spans="1:26" x14ac:dyDescent="0.25">
      <c r="A1172" s="929" t="s">
        <v>1500</v>
      </c>
      <c r="B1172" s="906" t="str">
        <f ca="1">_xlfn.CONCAT(IFERROR(SUBSTITUTE(ADDRESS(1,MATCH(A1172,INDIRECT("'"&amp;E1172&amp;"'"&amp;"!A" &amp; $O$1163 + 5 &amp; ":Z" &amp; $O$1163 + 5),0),4),1,""),""),$O$1163+ 6)</f>
        <v>J469</v>
      </c>
      <c r="C1172" s="906" t="str">
        <f t="shared" ref="C1172:C1186" ca="1" si="204">IFERROR(SUBSTITUTE(ADDRESS(1,MATCH(A1172,INDIRECT("'"&amp;E1172&amp;"'"&amp;"!A" &amp; $O$1163 + 5 &amp; ":Z" &amp; $O$1163 + 5),0),4),1,""),"")</f>
        <v>J</v>
      </c>
      <c r="D1172" s="906" t="s">
        <v>1372</v>
      </c>
      <c r="E1172" s="906" t="s">
        <v>1535</v>
      </c>
      <c r="F1172" s="1192"/>
      <c r="G1172" s="906"/>
      <c r="H1172" s="906"/>
      <c r="I1172" s="1427" t="str">
        <f t="shared" si="200"/>
        <v/>
      </c>
      <c r="J1172" s="1480" t="str">
        <f t="shared" si="202"/>
        <v/>
      </c>
      <c r="K1172" s="1480" t="str">
        <f t="shared" si="201"/>
        <v/>
      </c>
      <c r="L1172" s="906" t="s">
        <v>1500</v>
      </c>
      <c r="M1172" s="1480">
        <v>1155</v>
      </c>
      <c r="N1172" s="1480"/>
      <c r="O1172" s="1477"/>
      <c r="P1172" s="1477"/>
      <c r="Q1172" s="1477"/>
      <c r="R1172" s="1480" t="s">
        <v>1107</v>
      </c>
      <c r="S1172" s="1477"/>
      <c r="T1172" s="1477"/>
      <c r="U1172" s="1477"/>
      <c r="V1172" s="1477"/>
      <c r="W1172" s="1477"/>
      <c r="X1172" s="1477"/>
      <c r="Y1172" s="1477"/>
      <c r="Z1172" s="1477"/>
    </row>
    <row r="1173" spans="1:26" x14ac:dyDescent="0.25">
      <c r="A1173" s="929" t="s">
        <v>730</v>
      </c>
      <c r="B1173" s="906" t="str">
        <f ca="1">_xlfn.CONCAT(IFERROR(SUBSTITUTE(ADDRESS(1,MATCH(A1173,INDIRECT("'"&amp;E1173&amp;"'"&amp;"!A" &amp; $O$1163 + 5 &amp; ":Z" &amp; $O$1163 + 5),0),4),1,""),""),$O$1163+ 6)</f>
        <v>L469</v>
      </c>
      <c r="C1173" s="906" t="str">
        <f t="shared" ca="1" si="204"/>
        <v>L</v>
      </c>
      <c r="D1173" s="906" t="s">
        <v>1372</v>
      </c>
      <c r="E1173" s="906" t="s">
        <v>1535</v>
      </c>
      <c r="F1173" s="1192"/>
      <c r="G1173" s="906"/>
      <c r="H1173" s="906"/>
      <c r="I1173" s="1427" t="str">
        <f t="shared" si="200"/>
        <v/>
      </c>
      <c r="J1173" s="1480" t="str">
        <f t="shared" si="202"/>
        <v/>
      </c>
      <c r="K1173" s="1480" t="str">
        <f t="shared" si="201"/>
        <v/>
      </c>
      <c r="L1173" s="906" t="s">
        <v>730</v>
      </c>
      <c r="M1173" s="1480">
        <v>1156</v>
      </c>
      <c r="N1173" s="1480"/>
      <c r="O1173" s="1477"/>
      <c r="P1173" s="1477"/>
      <c r="Q1173" s="1477"/>
      <c r="R1173" s="1480" t="s">
        <v>1107</v>
      </c>
      <c r="S1173" s="1477"/>
      <c r="T1173" s="1477"/>
      <c r="U1173" s="1477"/>
      <c r="V1173" s="1477"/>
      <c r="W1173" s="1477"/>
      <c r="X1173" s="1477"/>
      <c r="Y1173" s="1477"/>
      <c r="Z1173" s="1477"/>
    </row>
    <row r="1174" spans="1:26" x14ac:dyDescent="0.25">
      <c r="A1174" s="929" t="s">
        <v>1640</v>
      </c>
      <c r="B1174" s="906" t="str">
        <f ca="1">_xlfn.CONCAT(IFERROR(SUBSTITUTE(ADDRESS(1,MATCH(A1174,INDIRECT("'"&amp;E1174&amp;"'"&amp;"!A" &amp; $O$1163 + 5 &amp; ":Z" &amp; $O$1163 + 5),0),4),1,""),""),$O$1163+ 6)</f>
        <v>N469</v>
      </c>
      <c r="C1174" s="906" t="str">
        <f t="shared" ca="1" si="204"/>
        <v>N</v>
      </c>
      <c r="D1174" s="906" t="s">
        <v>1372</v>
      </c>
      <c r="E1174" s="906" t="s">
        <v>1535</v>
      </c>
      <c r="F1174" s="1192"/>
      <c r="G1174" s="906"/>
      <c r="H1174" s="906"/>
      <c r="I1174" s="1427" t="str">
        <f t="shared" si="200"/>
        <v/>
      </c>
      <c r="J1174" s="1480" t="str">
        <f t="shared" si="202"/>
        <v/>
      </c>
      <c r="K1174" s="1480" t="str">
        <f t="shared" si="201"/>
        <v/>
      </c>
      <c r="L1174" s="906" t="s">
        <v>1640</v>
      </c>
      <c r="M1174" s="1480">
        <v>1157</v>
      </c>
      <c r="N1174" s="1480"/>
      <c r="O1174" s="1477"/>
      <c r="P1174" s="1477"/>
      <c r="Q1174" s="1477"/>
      <c r="R1174" s="1480" t="s">
        <v>1107</v>
      </c>
      <c r="S1174" s="1477"/>
      <c r="T1174" s="1477"/>
      <c r="U1174" s="1477"/>
      <c r="V1174" s="1477"/>
      <c r="W1174" s="1477"/>
      <c r="X1174" s="1477"/>
      <c r="Y1174" s="1477"/>
      <c r="Z1174" s="1477"/>
    </row>
    <row r="1175" spans="1:26" x14ac:dyDescent="0.25">
      <c r="A1175" s="929" t="s">
        <v>1500</v>
      </c>
      <c r="B1175" s="906" t="str">
        <f ca="1">_xlfn.CONCAT(IFERROR(SUBSTITUTE(ADDRESS(1,MATCH(A1175,INDIRECT("'"&amp;E1175&amp;"'"&amp;"!A" &amp; $O$1163 + 5 &amp; ":Z" &amp; $O$1163 + 5),0),4),1,""),""),$O$1163+ 7)</f>
        <v>J470</v>
      </c>
      <c r="C1175" s="906" t="str">
        <f t="shared" ca="1" si="204"/>
        <v>J</v>
      </c>
      <c r="D1175" s="906" t="s">
        <v>1372</v>
      </c>
      <c r="E1175" s="906" t="s">
        <v>1535</v>
      </c>
      <c r="F1175" s="906"/>
      <c r="G1175" s="906"/>
      <c r="H1175" s="906"/>
      <c r="I1175" s="1427" t="str">
        <f t="shared" si="200"/>
        <v/>
      </c>
      <c r="J1175" s="1480" t="str">
        <f t="shared" si="202"/>
        <v/>
      </c>
      <c r="K1175" s="1480" t="str">
        <f t="shared" si="201"/>
        <v/>
      </c>
      <c r="L1175" s="906" t="s">
        <v>1500</v>
      </c>
      <c r="M1175" s="1480">
        <v>1158</v>
      </c>
      <c r="N1175" s="1480"/>
      <c r="O1175" s="1477"/>
      <c r="P1175" s="1477"/>
      <c r="Q1175" s="1477"/>
      <c r="R1175" s="1480" t="s">
        <v>1107</v>
      </c>
      <c r="S1175" s="1477"/>
      <c r="T1175" s="1477"/>
      <c r="U1175" s="1477"/>
      <c r="V1175" s="1477"/>
      <c r="W1175" s="1477"/>
      <c r="X1175" s="1477"/>
      <c r="Y1175" s="1477"/>
      <c r="Z1175" s="1477"/>
    </row>
    <row r="1176" spans="1:26" x14ac:dyDescent="0.25">
      <c r="A1176" s="929" t="s">
        <v>730</v>
      </c>
      <c r="B1176" s="906" t="str">
        <f ca="1">_xlfn.CONCAT(IFERROR(SUBSTITUTE(ADDRESS(1,MATCH(A1176,INDIRECT("'"&amp;E1176&amp;"'"&amp;"!A" &amp; $O$1163 + 5 &amp; ":Z" &amp; $O$1163 + 5),0),4),1,""),""),$O$1163+ 7)</f>
        <v>L470</v>
      </c>
      <c r="C1176" s="906" t="str">
        <f t="shared" ca="1" si="204"/>
        <v>L</v>
      </c>
      <c r="D1176" s="906" t="s">
        <v>1372</v>
      </c>
      <c r="E1176" s="906" t="s">
        <v>1535</v>
      </c>
      <c r="F1176" s="1192"/>
      <c r="G1176" s="906"/>
      <c r="H1176" s="906"/>
      <c r="I1176" s="1427" t="str">
        <f t="shared" si="200"/>
        <v/>
      </c>
      <c r="J1176" s="1480" t="str">
        <f t="shared" si="202"/>
        <v/>
      </c>
      <c r="K1176" s="1480" t="str">
        <f t="shared" si="201"/>
        <v/>
      </c>
      <c r="L1176" s="906" t="s">
        <v>730</v>
      </c>
      <c r="M1176" s="1480">
        <v>1159</v>
      </c>
      <c r="N1176" s="1480"/>
      <c r="O1176" s="1477"/>
      <c r="P1176" s="1477"/>
      <c r="Q1176" s="1477"/>
      <c r="R1176" s="1480" t="s">
        <v>1107</v>
      </c>
      <c r="S1176" s="1477"/>
      <c r="T1176" s="1477"/>
      <c r="U1176" s="1477"/>
      <c r="V1176" s="1477"/>
      <c r="W1176" s="1477"/>
      <c r="X1176" s="1477"/>
      <c r="Y1176" s="1477"/>
      <c r="Z1176" s="1477"/>
    </row>
    <row r="1177" spans="1:26" x14ac:dyDescent="0.25">
      <c r="A1177" s="929" t="s">
        <v>1640</v>
      </c>
      <c r="B1177" s="906" t="str">
        <f ca="1">_xlfn.CONCAT(IFERROR(SUBSTITUTE(ADDRESS(1,MATCH(A1177,INDIRECT("'"&amp;E1177&amp;"'"&amp;"!A" &amp; $O$1163 + 5 &amp; ":Z" &amp; $O$1163 + 5),0),4),1,""),""),$O$1163+ 7)</f>
        <v>N470</v>
      </c>
      <c r="C1177" s="906" t="str">
        <f t="shared" ca="1" si="204"/>
        <v>N</v>
      </c>
      <c r="D1177" s="906" t="s">
        <v>1372</v>
      </c>
      <c r="E1177" s="906" t="s">
        <v>1535</v>
      </c>
      <c r="F1177" s="1192"/>
      <c r="G1177" s="906"/>
      <c r="H1177" s="906"/>
      <c r="I1177" s="1427" t="str">
        <f t="shared" si="200"/>
        <v/>
      </c>
      <c r="J1177" s="1480" t="str">
        <f t="shared" si="202"/>
        <v/>
      </c>
      <c r="K1177" s="1480" t="str">
        <f t="shared" si="201"/>
        <v/>
      </c>
      <c r="L1177" s="906" t="s">
        <v>1640</v>
      </c>
      <c r="M1177" s="1480">
        <v>1160</v>
      </c>
      <c r="N1177" s="1480"/>
      <c r="O1177" s="1477"/>
      <c r="P1177" s="1477"/>
      <c r="Q1177" s="1477"/>
      <c r="R1177" s="1480" t="s">
        <v>1107</v>
      </c>
      <c r="S1177" s="1477"/>
      <c r="T1177" s="1477"/>
      <c r="U1177" s="1477"/>
      <c r="V1177" s="1477"/>
      <c r="W1177" s="1477"/>
      <c r="X1177" s="1477"/>
      <c r="Y1177" s="1477"/>
      <c r="Z1177" s="1477"/>
    </row>
    <row r="1178" spans="1:26" x14ac:dyDescent="0.25">
      <c r="A1178" s="929" t="s">
        <v>1500</v>
      </c>
      <c r="B1178" s="906" t="str">
        <f ca="1">_xlfn.CONCAT(IFERROR(SUBSTITUTE(ADDRESS(1,MATCH(A1178,INDIRECT("'"&amp;E1178&amp;"'"&amp;"!A" &amp; $O$1163 + 5 &amp; ":Z" &amp; $O$1163 + 5),0),4),1,""),""),$O$1163+ 8)</f>
        <v>J471</v>
      </c>
      <c r="C1178" s="906" t="str">
        <f t="shared" ca="1" si="204"/>
        <v>J</v>
      </c>
      <c r="D1178" s="906" t="s">
        <v>1372</v>
      </c>
      <c r="E1178" s="906" t="s">
        <v>1535</v>
      </c>
      <c r="F1178" s="1192"/>
      <c r="G1178" s="906"/>
      <c r="H1178" s="906"/>
      <c r="I1178" s="1427" t="str">
        <f t="shared" si="200"/>
        <v/>
      </c>
      <c r="J1178" s="1480" t="str">
        <f t="shared" si="202"/>
        <v/>
      </c>
      <c r="K1178" s="1480" t="str">
        <f t="shared" si="201"/>
        <v/>
      </c>
      <c r="L1178" s="906" t="s">
        <v>1500</v>
      </c>
      <c r="M1178" s="1480">
        <v>1161</v>
      </c>
      <c r="N1178" s="1480"/>
      <c r="O1178" s="1477"/>
      <c r="P1178" s="1477"/>
      <c r="Q1178" s="1477"/>
      <c r="R1178" s="1480" t="s">
        <v>1107</v>
      </c>
      <c r="S1178" s="1477"/>
      <c r="T1178" s="1477"/>
      <c r="U1178" s="1477"/>
      <c r="V1178" s="1477"/>
      <c r="W1178" s="1477"/>
      <c r="X1178" s="1477"/>
      <c r="Y1178" s="1477"/>
      <c r="Z1178" s="1477"/>
    </row>
    <row r="1179" spans="1:26" x14ac:dyDescent="0.25">
      <c r="A1179" s="929" t="s">
        <v>730</v>
      </c>
      <c r="B1179" s="906" t="str">
        <f ca="1">_xlfn.CONCAT(IFERROR(SUBSTITUTE(ADDRESS(1,MATCH(A1179,INDIRECT("'"&amp;E1179&amp;"'"&amp;"!A" &amp; $O$1163 + 5 &amp; ":Z" &amp; $O$1163 + 5),0),4),1,""),""),$O$1163+ 8)</f>
        <v>L471</v>
      </c>
      <c r="C1179" s="906" t="str">
        <f t="shared" ca="1" si="204"/>
        <v>L</v>
      </c>
      <c r="D1179" s="906" t="s">
        <v>1372</v>
      </c>
      <c r="E1179" s="906" t="s">
        <v>1535</v>
      </c>
      <c r="F1179" s="906"/>
      <c r="G1179" s="906"/>
      <c r="H1179" s="906"/>
      <c r="I1179" s="1427" t="str">
        <f t="shared" si="200"/>
        <v/>
      </c>
      <c r="J1179" s="1480" t="str">
        <f t="shared" si="202"/>
        <v/>
      </c>
      <c r="K1179" s="1480" t="str">
        <f t="shared" si="201"/>
        <v/>
      </c>
      <c r="L1179" s="906" t="s">
        <v>730</v>
      </c>
      <c r="M1179" s="1480">
        <v>1162</v>
      </c>
      <c r="N1179" s="1480"/>
      <c r="O1179" s="1477"/>
      <c r="P1179" s="1477"/>
      <c r="Q1179" s="1477"/>
      <c r="R1179" s="1480" t="s">
        <v>1107</v>
      </c>
      <c r="S1179" s="1477"/>
      <c r="T1179" s="1477"/>
      <c r="U1179" s="1477"/>
      <c r="V1179" s="1477"/>
      <c r="W1179" s="1477"/>
      <c r="X1179" s="1477"/>
      <c r="Y1179" s="1477"/>
      <c r="Z1179" s="1477"/>
    </row>
    <row r="1180" spans="1:26" x14ac:dyDescent="0.25">
      <c r="A1180" s="929" t="s">
        <v>1640</v>
      </c>
      <c r="B1180" s="906" t="str">
        <f ca="1">_xlfn.CONCAT(IFERROR(SUBSTITUTE(ADDRESS(1,MATCH(A1180,INDIRECT("'"&amp;E1180&amp;"'"&amp;"!A" &amp; $O$1163 + 5 &amp; ":Z" &amp; $O$1163 + 5),0),4),1,""),""),$O$1163+ 8)</f>
        <v>N471</v>
      </c>
      <c r="C1180" s="906" t="str">
        <f t="shared" ca="1" si="204"/>
        <v>N</v>
      </c>
      <c r="D1180" s="906" t="s">
        <v>1372</v>
      </c>
      <c r="E1180" s="906" t="s">
        <v>1535</v>
      </c>
      <c r="F1180" s="906"/>
      <c r="G1180" s="906"/>
      <c r="H1180" s="906"/>
      <c r="I1180" s="1427" t="str">
        <f t="shared" si="200"/>
        <v/>
      </c>
      <c r="J1180" s="1480" t="str">
        <f t="shared" si="202"/>
        <v/>
      </c>
      <c r="K1180" s="1480" t="str">
        <f t="shared" si="201"/>
        <v/>
      </c>
      <c r="L1180" s="906" t="s">
        <v>1640</v>
      </c>
      <c r="M1180" s="1480">
        <v>1163</v>
      </c>
      <c r="N1180" s="1480"/>
      <c r="O1180" s="1477"/>
      <c r="P1180" s="1477"/>
      <c r="Q1180" s="1477"/>
      <c r="R1180" s="1480" t="s">
        <v>1107</v>
      </c>
      <c r="S1180" s="1477"/>
      <c r="T1180" s="1477"/>
      <c r="U1180" s="1477"/>
      <c r="V1180" s="1477"/>
      <c r="W1180" s="1477"/>
      <c r="X1180" s="1477"/>
      <c r="Y1180" s="1477"/>
      <c r="Z1180" s="1477"/>
    </row>
    <row r="1181" spans="1:26" x14ac:dyDescent="0.25">
      <c r="A1181" s="929" t="s">
        <v>1500</v>
      </c>
      <c r="B1181" s="906" t="str">
        <f ca="1">_xlfn.CONCAT(IFERROR(SUBSTITUTE(ADDRESS(1,MATCH(A1181,INDIRECT("'"&amp;E1181&amp;"'"&amp;"!A" &amp; $O$1163 + 5 &amp; ":Z" &amp; $O$1163 + 5),0),4),1,""),""),$O$1163+ 9)</f>
        <v>J472</v>
      </c>
      <c r="C1181" s="906" t="str">
        <f t="shared" ca="1" si="204"/>
        <v>J</v>
      </c>
      <c r="D1181" s="906" t="s">
        <v>1372</v>
      </c>
      <c r="E1181" s="906" t="s">
        <v>1535</v>
      </c>
      <c r="F1181" s="906"/>
      <c r="G1181" s="906"/>
      <c r="H1181" s="906"/>
      <c r="I1181" s="1427" t="str">
        <f t="shared" si="200"/>
        <v/>
      </c>
      <c r="J1181" s="1480" t="str">
        <f t="shared" si="202"/>
        <v/>
      </c>
      <c r="K1181" s="1480" t="str">
        <f t="shared" si="201"/>
        <v/>
      </c>
      <c r="L1181" s="906" t="s">
        <v>1500</v>
      </c>
      <c r="M1181" s="1480">
        <v>1164</v>
      </c>
      <c r="N1181" s="1480"/>
      <c r="O1181" s="1477"/>
      <c r="P1181" s="1477"/>
      <c r="Q1181" s="1477"/>
      <c r="R1181" s="1480" t="s">
        <v>1107</v>
      </c>
      <c r="S1181" s="1477"/>
      <c r="T1181" s="1477"/>
      <c r="U1181" s="1477"/>
      <c r="V1181" s="1477"/>
      <c r="W1181" s="1477"/>
      <c r="X1181" s="1477"/>
      <c r="Y1181" s="1477"/>
      <c r="Z1181" s="1477"/>
    </row>
    <row r="1182" spans="1:26" x14ac:dyDescent="0.25">
      <c r="A1182" s="929" t="s">
        <v>730</v>
      </c>
      <c r="B1182" s="906" t="str">
        <f ca="1">_xlfn.CONCAT(IFERROR(SUBSTITUTE(ADDRESS(1,MATCH(A1182,INDIRECT("'"&amp;E1182&amp;"'"&amp;"!A" &amp; $O$1163 + 5 &amp; ":Z" &amp; $O$1163 + 5),0),4),1,""),""),$O$1163+ 9)</f>
        <v>L472</v>
      </c>
      <c r="C1182" s="906" t="str">
        <f t="shared" ca="1" si="204"/>
        <v>L</v>
      </c>
      <c r="D1182" s="906" t="s">
        <v>1372</v>
      </c>
      <c r="E1182" s="906" t="s">
        <v>1535</v>
      </c>
      <c r="F1182" s="906"/>
      <c r="G1182" s="906"/>
      <c r="H1182" s="906"/>
      <c r="I1182" s="1427" t="str">
        <f t="shared" si="200"/>
        <v/>
      </c>
      <c r="J1182" s="1480" t="str">
        <f t="shared" si="202"/>
        <v/>
      </c>
      <c r="K1182" s="1480" t="str">
        <f t="shared" si="201"/>
        <v/>
      </c>
      <c r="L1182" s="906" t="s">
        <v>730</v>
      </c>
      <c r="M1182" s="1480">
        <v>1165</v>
      </c>
      <c r="N1182" s="1480"/>
      <c r="O1182" s="1477"/>
      <c r="P1182" s="1477"/>
      <c r="Q1182" s="1477"/>
      <c r="R1182" s="1480" t="s">
        <v>1107</v>
      </c>
      <c r="S1182" s="1477"/>
      <c r="T1182" s="1477"/>
      <c r="U1182" s="1477"/>
      <c r="V1182" s="1477"/>
      <c r="W1182" s="1477"/>
      <c r="X1182" s="1477"/>
      <c r="Y1182" s="1477"/>
      <c r="Z1182" s="1477"/>
    </row>
    <row r="1183" spans="1:26" x14ac:dyDescent="0.25">
      <c r="A1183" s="929" t="s">
        <v>1640</v>
      </c>
      <c r="B1183" s="906" t="str">
        <f ca="1">_xlfn.CONCAT(IFERROR(SUBSTITUTE(ADDRESS(1,MATCH(A1183,INDIRECT("'"&amp;E1183&amp;"'"&amp;"!A" &amp; $O$1163 + 5 &amp; ":Z" &amp; $O$1163 + 5),0),4),1,""),""),$O$1163+ 9)</f>
        <v>N472</v>
      </c>
      <c r="C1183" s="906" t="str">
        <f t="shared" ca="1" si="204"/>
        <v>N</v>
      </c>
      <c r="D1183" s="906" t="s">
        <v>1372</v>
      </c>
      <c r="E1183" s="906" t="s">
        <v>1535</v>
      </c>
      <c r="F1183" s="906"/>
      <c r="G1183" s="906"/>
      <c r="H1183" s="906"/>
      <c r="I1183" s="1427" t="str">
        <f t="shared" si="200"/>
        <v/>
      </c>
      <c r="J1183" s="1480" t="str">
        <f t="shared" si="202"/>
        <v/>
      </c>
      <c r="K1183" s="1480" t="str">
        <f t="shared" si="201"/>
        <v/>
      </c>
      <c r="L1183" s="906" t="s">
        <v>1640</v>
      </c>
      <c r="M1183" s="1480">
        <v>1166</v>
      </c>
      <c r="N1183" s="1480"/>
      <c r="O1183" s="1477"/>
      <c r="P1183" s="1477"/>
      <c r="Q1183" s="1477"/>
      <c r="R1183" s="1480" t="s">
        <v>1107</v>
      </c>
      <c r="S1183" s="1477"/>
      <c r="T1183" s="1477"/>
      <c r="U1183" s="1477"/>
      <c r="V1183" s="1477"/>
      <c r="W1183" s="1477"/>
      <c r="X1183" s="1477"/>
      <c r="Y1183" s="1477"/>
      <c r="Z1183" s="1477"/>
    </row>
    <row r="1184" spans="1:26" x14ac:dyDescent="0.25">
      <c r="A1184" s="929" t="s">
        <v>1500</v>
      </c>
      <c r="B1184" s="906" t="str">
        <f ca="1">_xlfn.CONCAT(IFERROR(SUBSTITUTE(ADDRESS(1,MATCH(A1184,INDIRECT("'"&amp;E1184&amp;"'"&amp;"!A" &amp; $O$1163 + 5 &amp; ":Z" &amp; $O$1163 + 5),0),4),1,""),""),$O$1163+ 10)</f>
        <v>J473</v>
      </c>
      <c r="C1184" s="906" t="str">
        <f t="shared" ca="1" si="204"/>
        <v>J</v>
      </c>
      <c r="D1184" s="906" t="s">
        <v>1372</v>
      </c>
      <c r="E1184" s="906" t="s">
        <v>1535</v>
      </c>
      <c r="F1184" s="906"/>
      <c r="G1184" s="906"/>
      <c r="H1184" s="906"/>
      <c r="I1184" s="1427" t="str">
        <f t="shared" si="200"/>
        <v/>
      </c>
      <c r="J1184" s="1480" t="str">
        <f t="shared" si="202"/>
        <v/>
      </c>
      <c r="K1184" s="1480" t="str">
        <f t="shared" si="201"/>
        <v/>
      </c>
      <c r="L1184" s="906" t="s">
        <v>1500</v>
      </c>
      <c r="M1184" s="1480">
        <v>1167</v>
      </c>
      <c r="N1184" s="1480"/>
      <c r="O1184" s="1477"/>
      <c r="P1184" s="1477"/>
      <c r="Q1184" s="1477"/>
      <c r="R1184" s="1480" t="s">
        <v>1107</v>
      </c>
      <c r="S1184" s="1477"/>
      <c r="T1184" s="1477"/>
      <c r="U1184" s="1477"/>
      <c r="V1184" s="1477"/>
      <c r="W1184" s="1477"/>
      <c r="X1184" s="1477"/>
      <c r="Y1184" s="1477"/>
      <c r="Z1184" s="1477"/>
    </row>
    <row r="1185" spans="1:26" x14ac:dyDescent="0.25">
      <c r="A1185" s="929" t="s">
        <v>730</v>
      </c>
      <c r="B1185" s="906" t="str">
        <f ca="1">_xlfn.CONCAT(IFERROR(SUBSTITUTE(ADDRESS(1,MATCH(A1185,INDIRECT("'"&amp;E1185&amp;"'"&amp;"!A" &amp; $O$1163 + 5 &amp; ":Z" &amp; $O$1163 + 5),0),4),1,""),""),$O$1163+ 10)</f>
        <v>L473</v>
      </c>
      <c r="C1185" s="906" t="str">
        <f t="shared" ca="1" si="204"/>
        <v>L</v>
      </c>
      <c r="D1185" s="906" t="s">
        <v>1372</v>
      </c>
      <c r="E1185" s="906" t="s">
        <v>1535</v>
      </c>
      <c r="F1185" s="906"/>
      <c r="G1185" s="906"/>
      <c r="H1185" s="906"/>
      <c r="I1185" s="1427" t="str">
        <f t="shared" si="200"/>
        <v/>
      </c>
      <c r="J1185" s="1480" t="str">
        <f t="shared" si="202"/>
        <v/>
      </c>
      <c r="K1185" s="1480" t="str">
        <f t="shared" si="201"/>
        <v/>
      </c>
      <c r="L1185" s="906" t="s">
        <v>730</v>
      </c>
      <c r="M1185" s="1480">
        <v>1168</v>
      </c>
      <c r="N1185" s="1480"/>
      <c r="O1185" s="1477"/>
      <c r="P1185" s="1477"/>
      <c r="Q1185" s="1477"/>
      <c r="R1185" s="1480" t="s">
        <v>1107</v>
      </c>
      <c r="S1185" s="1477"/>
      <c r="T1185" s="1477"/>
      <c r="U1185" s="1477"/>
      <c r="V1185" s="1477"/>
      <c r="W1185" s="1477"/>
      <c r="X1185" s="1477"/>
      <c r="Y1185" s="1477"/>
      <c r="Z1185" s="1477"/>
    </row>
    <row r="1186" spans="1:26" x14ac:dyDescent="0.25">
      <c r="A1186" s="929" t="s">
        <v>1640</v>
      </c>
      <c r="B1186" s="906" t="str">
        <f ca="1">_xlfn.CONCAT(IFERROR(SUBSTITUTE(ADDRESS(1,MATCH(A1186,INDIRECT("'"&amp;E1186&amp;"'"&amp;"!A" &amp; $O$1163 + 5 &amp; ":Z" &amp; $O$1163 + 5),0),4),1,""),""),$O$1163+ 10)</f>
        <v>N473</v>
      </c>
      <c r="C1186" s="906" t="str">
        <f t="shared" ca="1" si="204"/>
        <v>N</v>
      </c>
      <c r="D1186" s="906" t="s">
        <v>1372</v>
      </c>
      <c r="E1186" s="906" t="s">
        <v>1535</v>
      </c>
      <c r="F1186" s="906"/>
      <c r="G1186" s="906"/>
      <c r="H1186" s="906"/>
      <c r="I1186" s="1427" t="str">
        <f t="shared" si="200"/>
        <v/>
      </c>
      <c r="J1186" s="1480" t="str">
        <f t="shared" si="202"/>
        <v/>
      </c>
      <c r="K1186" s="1480" t="str">
        <f t="shared" si="201"/>
        <v/>
      </c>
      <c r="L1186" s="906" t="s">
        <v>1640</v>
      </c>
      <c r="M1186" s="1480">
        <v>1169</v>
      </c>
      <c r="N1186" s="1480"/>
      <c r="O1186" s="1477"/>
      <c r="P1186" s="1477"/>
      <c r="Q1186" s="1477"/>
      <c r="R1186" s="1480" t="s">
        <v>1107</v>
      </c>
      <c r="S1186" s="1477"/>
      <c r="T1186" s="1477"/>
      <c r="U1186" s="1477"/>
      <c r="V1186" s="1477"/>
      <c r="W1186" s="1477"/>
      <c r="X1186" s="1477"/>
      <c r="Y1186" s="1477"/>
      <c r="Z1186" s="1477"/>
    </row>
    <row r="1187" spans="1:26"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80" t="s">
        <v>1510</v>
      </c>
      <c r="G1187" s="1480" t="str">
        <f>IF(T1187&lt;&gt;"","A","")</f>
        <v/>
      </c>
      <c r="H1187" s="1480" t="s">
        <v>2063</v>
      </c>
      <c r="I1187" s="1427" t="str">
        <f t="shared" si="200"/>
        <v/>
      </c>
      <c r="J1187" s="1480"/>
      <c r="K1187" s="1480" t="str">
        <f t="shared" si="201"/>
        <v/>
      </c>
      <c r="L1187" s="906" t="s">
        <v>1510</v>
      </c>
      <c r="M1187" s="1480">
        <v>1170</v>
      </c>
      <c r="N1187" s="1480"/>
      <c r="O1187" s="1477" t="s">
        <v>728</v>
      </c>
      <c r="P1187" s="1477"/>
      <c r="Q1187" s="1477"/>
      <c r="R1187" s="1480" t="s">
        <v>1107</v>
      </c>
      <c r="S1187" s="1477"/>
      <c r="T1187" s="1480" t="str">
        <f>IF(Q$1188="Yes",34,"")</f>
        <v/>
      </c>
      <c r="U1187" s="1477"/>
      <c r="V1187" s="1477"/>
      <c r="W1187" s="1477"/>
      <c r="X1187" s="1477"/>
      <c r="Y1187" s="1477"/>
      <c r="Z1187" s="1477"/>
    </row>
    <row r="1188" spans="1:26"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80"/>
      <c r="G1188" s="1480"/>
      <c r="H1188" s="1480"/>
      <c r="I1188" s="1427" t="str">
        <f t="shared" si="200"/>
        <v/>
      </c>
      <c r="J1188" s="1480" t="str">
        <f t="shared" ref="J1188:J1211" si="205">IF(M1188&lt;&gt;"",IF($Q$1188="Yes",Q$1&amp;M1188,""))</f>
        <v/>
      </c>
      <c r="K1188" s="1480" t="str">
        <f t="shared" si="201"/>
        <v/>
      </c>
      <c r="L1188" s="906" t="s">
        <v>1724</v>
      </c>
      <c r="M1188" s="1480">
        <v>1171</v>
      </c>
      <c r="N1188" s="1480"/>
      <c r="O1188" s="1477">
        <f>'Configurable Tab'!H36</f>
        <v>477</v>
      </c>
      <c r="P1188" s="1477"/>
      <c r="Q1188" s="1477" t="s">
        <v>651</v>
      </c>
      <c r="R1188" s="1480" t="s">
        <v>1107</v>
      </c>
      <c r="S1188" s="1477"/>
      <c r="T1188" s="1480" t="str">
        <f t="shared" ref="T1188:T1193" si="206">IF(Q$1188="Yes",34,"")</f>
        <v/>
      </c>
      <c r="U1188" s="1477"/>
      <c r="V1188" s="1477"/>
      <c r="W1188" s="1477"/>
      <c r="X1188" s="1477"/>
      <c r="Y1188" s="1477"/>
      <c r="Z1188" s="1477"/>
    </row>
    <row r="1189" spans="1:26"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80" t="s">
        <v>1399</v>
      </c>
      <c r="G1189" s="1480" t="str">
        <f>IF(T1189&lt;&gt;"","B","")</f>
        <v/>
      </c>
      <c r="H1189" s="1480" t="s">
        <v>2063</v>
      </c>
      <c r="I1189" s="1427" t="str">
        <f t="shared" si="200"/>
        <v/>
      </c>
      <c r="J1189" s="1480"/>
      <c r="K1189" s="1480" t="str">
        <f t="shared" si="201"/>
        <v/>
      </c>
      <c r="L1189" s="906" t="s">
        <v>1399</v>
      </c>
      <c r="M1189" s="1480">
        <v>1172</v>
      </c>
      <c r="N1189" s="1480"/>
      <c r="O1189" s="1477" t="s">
        <v>729</v>
      </c>
      <c r="P1189" s="1477"/>
      <c r="Q1189" s="1477"/>
      <c r="R1189" s="1480" t="s">
        <v>1107</v>
      </c>
      <c r="S1189" s="1477"/>
      <c r="T1189" s="1480" t="str">
        <f t="shared" si="206"/>
        <v/>
      </c>
      <c r="U1189" s="1477"/>
      <c r="V1189" s="1477"/>
      <c r="W1189" s="1477"/>
      <c r="X1189" s="1477"/>
      <c r="Y1189" s="1477"/>
      <c r="Z1189" s="1477"/>
    </row>
    <row r="1190" spans="1:26"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80" t="s">
        <v>2065</v>
      </c>
      <c r="G1190" s="1480" t="str">
        <f>IF(T1190&lt;&gt;"","I","")</f>
        <v/>
      </c>
      <c r="H1190" s="1480" t="s">
        <v>2063</v>
      </c>
      <c r="I1190" s="1427" t="str">
        <f t="shared" si="200"/>
        <v/>
      </c>
      <c r="J1190" s="1480" t="str">
        <f t="shared" si="205"/>
        <v/>
      </c>
      <c r="K1190" s="1480" t="str">
        <f t="shared" si="201"/>
        <v/>
      </c>
      <c r="L1190" s="906" t="s">
        <v>1397</v>
      </c>
      <c r="M1190" s="1480">
        <v>1173</v>
      </c>
      <c r="N1190" s="1480"/>
      <c r="O1190" s="1477">
        <f>'Configurable Tab'!I36</f>
        <v>490</v>
      </c>
      <c r="P1190" s="1477"/>
      <c r="Q1190" s="1477"/>
      <c r="R1190" s="1480" t="s">
        <v>1107</v>
      </c>
      <c r="S1190" s="1477"/>
      <c r="T1190" s="1480" t="str">
        <f t="shared" si="206"/>
        <v/>
      </c>
      <c r="U1190" s="1477"/>
      <c r="V1190" s="1477"/>
      <c r="W1190" s="1477"/>
      <c r="X1190" s="1477"/>
      <c r="Y1190" s="1477"/>
      <c r="Z1190" s="1477"/>
    </row>
    <row r="1191" spans="1:26"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80" t="s">
        <v>1398</v>
      </c>
      <c r="G1191" s="1480" t="str">
        <f>IF(T1191&lt;&gt;"",IF(Q1189="Credit Memo","J",IF(Q1189="Check","K","")),"")</f>
        <v/>
      </c>
      <c r="H1191" s="1480" t="s">
        <v>2063</v>
      </c>
      <c r="I1191" s="1427" t="str">
        <f t="shared" si="200"/>
        <v/>
      </c>
      <c r="J1191" s="1480" t="str">
        <f t="shared" si="205"/>
        <v/>
      </c>
      <c r="K1191" s="1480" t="str">
        <f t="shared" si="201"/>
        <v/>
      </c>
      <c r="L1191" s="906" t="s">
        <v>1398</v>
      </c>
      <c r="M1191" s="1480">
        <v>1174</v>
      </c>
      <c r="N1191" s="1480"/>
      <c r="O1191" s="1477" t="s">
        <v>1680</v>
      </c>
      <c r="P1191" s="1477"/>
      <c r="Q1191" s="1477"/>
      <c r="R1191" s="1480" t="s">
        <v>1107</v>
      </c>
      <c r="S1191" s="1477"/>
      <c r="T1191" s="1480" t="str">
        <f t="shared" si="206"/>
        <v/>
      </c>
      <c r="U1191" s="1477"/>
      <c r="V1191" s="1477"/>
      <c r="W1191" s="1477"/>
      <c r="X1191" s="1477"/>
      <c r="Y1191" s="1477"/>
      <c r="Z1191" s="1477"/>
    </row>
    <row r="1192" spans="1:26"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80" t="s">
        <v>1401</v>
      </c>
      <c r="G1192" s="1480" t="str">
        <f>IF(T1192&lt;&gt;"","C","")</f>
        <v/>
      </c>
      <c r="H1192" s="1480" t="s">
        <v>2063</v>
      </c>
      <c r="I1192" s="1427" t="str">
        <f t="shared" si="200"/>
        <v/>
      </c>
      <c r="J1192" s="1480"/>
      <c r="K1192" s="1480" t="str">
        <f t="shared" si="201"/>
        <v/>
      </c>
      <c r="L1192" s="906" t="s">
        <v>1401</v>
      </c>
      <c r="M1192" s="1480">
        <v>1175</v>
      </c>
      <c r="N1192" s="1480"/>
      <c r="O1192" s="1477"/>
      <c r="P1192" s="1477"/>
      <c r="Q1192" s="1477"/>
      <c r="R1192" s="1480" t="s">
        <v>1107</v>
      </c>
      <c r="S1192" s="1477"/>
      <c r="T1192" s="1480" t="str">
        <f t="shared" si="206"/>
        <v/>
      </c>
      <c r="U1192" s="1477"/>
      <c r="V1192" s="1477"/>
      <c r="W1192" s="1477"/>
      <c r="X1192" s="1477"/>
      <c r="Y1192" s="1477"/>
      <c r="Z1192" s="1477"/>
    </row>
    <row r="1193" spans="1:26"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80" t="s">
        <v>1402</v>
      </c>
      <c r="G1193" s="1480" t="str">
        <f>IF(T1193&lt;&gt;"","D","")</f>
        <v/>
      </c>
      <c r="H1193" s="1480" t="s">
        <v>2063</v>
      </c>
      <c r="I1193" s="1427" t="str">
        <f t="shared" si="200"/>
        <v/>
      </c>
      <c r="J1193" s="1480"/>
      <c r="K1193" s="1480" t="str">
        <f t="shared" si="201"/>
        <v/>
      </c>
      <c r="L1193" s="906" t="s">
        <v>1402</v>
      </c>
      <c r="M1193" s="1480">
        <v>1176</v>
      </c>
      <c r="N1193" s="1480"/>
      <c r="O1193" s="1477"/>
      <c r="P1193" s="1477"/>
      <c r="Q1193" s="1477"/>
      <c r="R1193" s="1480" t="s">
        <v>1107</v>
      </c>
      <c r="S1193" s="1477"/>
      <c r="T1193" s="1480" t="str">
        <f t="shared" si="206"/>
        <v/>
      </c>
      <c r="U1193" s="1477"/>
      <c r="V1193" s="1477"/>
      <c r="W1193" s="1477"/>
      <c r="X1193" s="1477"/>
      <c r="Y1193" s="1477"/>
      <c r="Z1193" s="1477"/>
    </row>
    <row r="1194" spans="1:26"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80" t="s">
        <v>1514</v>
      </c>
      <c r="G1194" s="1480" t="str">
        <f>IF(T1194&lt;&gt;"","AN","")</f>
        <v/>
      </c>
      <c r="H1194" s="1480" t="s">
        <v>2063</v>
      </c>
      <c r="I1194" s="1427" t="str">
        <f t="shared" si="200"/>
        <v/>
      </c>
      <c r="J1194" s="1480" t="str">
        <f t="shared" si="205"/>
        <v/>
      </c>
      <c r="K1194" s="1480" t="str">
        <f t="shared" si="201"/>
        <v/>
      </c>
      <c r="L1194" s="906" t="s">
        <v>1514</v>
      </c>
      <c r="M1194" s="1480">
        <v>1177</v>
      </c>
      <c r="N1194" s="1480"/>
      <c r="O1194" s="1477"/>
      <c r="P1194" s="1484" t="str" cm="1">
        <f t="array" aca="1" ref="P1194" ca="1">_xlfn.CONCAT("F",RIGHT(B1194, LEN(B1194) - MAX(IF(ISNUMBER(MID(B1194, ROW(INDIRECT("1:"&amp;LEN(B1194))), 1) *1)=FALSE, ROW(INDIRECT("1:"&amp;LEN(B1194))), 0))))</f>
        <v>F487</v>
      </c>
      <c r="Q1194" s="1480" t="str" cm="1">
        <f t="array" aca="1" ref="Q1194" ca="1">_xlfn.CONCAT("E",RIGHT(C1194, LEN(C1194) - MAX(IF(ISNUMBER(MID(C1194, ROW(INDIRECT("1:"&amp;LEN(C1194))), 1) *1)=FALSE, ROW(INDIRECT("1:"&amp;LEN(C1194))), 0))))</f>
        <v>E487</v>
      </c>
      <c r="R1194" s="1480" t="s">
        <v>1107</v>
      </c>
      <c r="S1194" s="1477"/>
      <c r="T1194" s="1480" t="str">
        <f>IF(Q$1188="Yes",34,"")</f>
        <v/>
      </c>
      <c r="U1194" s="1477"/>
      <c r="V1194" s="1477"/>
      <c r="W1194" s="1477"/>
      <c r="X1194" s="1477"/>
      <c r="Y1194" s="1477"/>
      <c r="Z1194" s="1477"/>
    </row>
    <row r="1195" spans="1:26"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80" t="s">
        <v>1511</v>
      </c>
      <c r="G1195" s="1480" t="str">
        <f>IF(T1195&lt;&gt;"","AL","")</f>
        <v/>
      </c>
      <c r="H1195" s="1480" t="s">
        <v>2063</v>
      </c>
      <c r="I1195" s="1427" t="str">
        <f t="shared" si="200"/>
        <v/>
      </c>
      <c r="J1195" s="1480" t="str">
        <f t="shared" si="205"/>
        <v/>
      </c>
      <c r="K1195" s="1480" t="str">
        <f t="shared" si="201"/>
        <v/>
      </c>
      <c r="L1195" s="906" t="s">
        <v>1511</v>
      </c>
      <c r="M1195" s="1480">
        <v>1178</v>
      </c>
      <c r="N1195" s="1480"/>
      <c r="O1195" s="1477"/>
      <c r="P1195" s="1477"/>
      <c r="Q1195" s="1477"/>
      <c r="R1195" s="1480" t="s">
        <v>1107</v>
      </c>
      <c r="S1195" s="1477"/>
      <c r="T1195" s="1480" t="str">
        <f>IF(Q$1188="Yes",34,"")</f>
        <v/>
      </c>
      <c r="U1195" s="1477"/>
      <c r="V1195" s="1477"/>
      <c r="W1195" s="1477"/>
      <c r="X1195" s="1477"/>
      <c r="Y1195" s="1477"/>
      <c r="Z1195" s="1477"/>
    </row>
    <row r="1196" spans="1:26"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200"/>
        <v/>
      </c>
      <c r="J1196" s="1480" t="str">
        <f t="shared" si="205"/>
        <v/>
      </c>
      <c r="K1196" s="1480" t="str">
        <f t="shared" si="201"/>
        <v/>
      </c>
      <c r="L1196" s="906" t="s">
        <v>1412</v>
      </c>
      <c r="M1196" s="1480">
        <v>1179</v>
      </c>
      <c r="N1196" s="1480"/>
      <c r="O1196" s="1477"/>
      <c r="P1196" s="1477"/>
      <c r="Q1196" s="1477"/>
      <c r="R1196" s="1480" t="s">
        <v>1107</v>
      </c>
      <c r="S1196" s="1477"/>
      <c r="T1196" s="1477"/>
      <c r="U1196" s="1477"/>
      <c r="V1196" s="1477"/>
      <c r="W1196" s="1477"/>
      <c r="X1196" s="1477"/>
      <c r="Y1196" s="1477"/>
      <c r="Z1196" s="1477"/>
    </row>
    <row r="1197" spans="1:26" x14ac:dyDescent="0.25">
      <c r="A1197" s="932" t="s">
        <v>1500</v>
      </c>
      <c r="B1197" s="906" t="str">
        <f ca="1">_xlfn.CONCAT(IFERROR(SUBSTITUTE(ADDRESS(1,MATCH(A1197,INDIRECT("'"&amp;E1197&amp;"'"&amp;"!A" &amp; $O$1188 + 5 &amp; ":Z" &amp; $O$1188 + 5),0),4),1,""),""),$O$1188+ 6)</f>
        <v>J483</v>
      </c>
      <c r="C1197" s="906" t="str">
        <f t="shared" ref="C1197:C1211" ca="1" si="207">IFERROR(SUBSTITUTE(ADDRESS(1,MATCH(A1197,INDIRECT("'"&amp;E1197&amp;"'"&amp;"!A" &amp; $O$1188 + 5 &amp; ":Z" &amp; $O$1188 + 5),0),4),1,""),"")</f>
        <v>J</v>
      </c>
      <c r="D1197" s="906" t="s">
        <v>1372</v>
      </c>
      <c r="E1197" s="906" t="s">
        <v>1535</v>
      </c>
      <c r="F1197" s="1192"/>
      <c r="G1197" s="906"/>
      <c r="H1197" s="906"/>
      <c r="I1197" s="1427" t="str">
        <f t="shared" si="200"/>
        <v/>
      </c>
      <c r="J1197" s="1480" t="str">
        <f t="shared" si="205"/>
        <v/>
      </c>
      <c r="K1197" s="1480" t="str">
        <f t="shared" si="201"/>
        <v/>
      </c>
      <c r="L1197" s="906" t="s">
        <v>1500</v>
      </c>
      <c r="M1197" s="1480">
        <v>1180</v>
      </c>
      <c r="N1197" s="1480"/>
      <c r="O1197" s="1477"/>
      <c r="P1197" s="1477"/>
      <c r="Q1197" s="1477"/>
      <c r="R1197" s="1480" t="s">
        <v>1107</v>
      </c>
      <c r="S1197" s="1477"/>
      <c r="T1197" s="1477"/>
      <c r="U1197" s="1477"/>
      <c r="V1197" s="1477"/>
      <c r="W1197" s="1477"/>
      <c r="X1197" s="1477"/>
      <c r="Y1197" s="1477"/>
      <c r="Z1197" s="1477"/>
    </row>
    <row r="1198" spans="1:26" x14ac:dyDescent="0.25">
      <c r="A1198" s="932" t="s">
        <v>730</v>
      </c>
      <c r="B1198" s="906" t="str">
        <f ca="1">_xlfn.CONCAT(IFERROR(SUBSTITUTE(ADDRESS(1,MATCH(A1198,INDIRECT("'"&amp;E1198&amp;"'"&amp;"!A" &amp; $O$1188 + 5 &amp; ":Z" &amp; $O$1188 + 5),0),4),1,""),""),$O$1188+ 6)</f>
        <v>L483</v>
      </c>
      <c r="C1198" s="906" t="str">
        <f t="shared" ca="1" si="207"/>
        <v>L</v>
      </c>
      <c r="D1198" s="906" t="s">
        <v>1372</v>
      </c>
      <c r="E1198" s="906" t="s">
        <v>1535</v>
      </c>
      <c r="F1198" s="1192"/>
      <c r="G1198" s="906"/>
      <c r="H1198" s="906"/>
      <c r="I1198" s="1427" t="str">
        <f t="shared" si="200"/>
        <v/>
      </c>
      <c r="J1198" s="1480" t="str">
        <f t="shared" si="205"/>
        <v/>
      </c>
      <c r="K1198" s="1480" t="str">
        <f t="shared" si="201"/>
        <v/>
      </c>
      <c r="L1198" s="906" t="s">
        <v>730</v>
      </c>
      <c r="M1198" s="1480">
        <v>1181</v>
      </c>
      <c r="N1198" s="1480"/>
      <c r="O1198" s="1477"/>
      <c r="P1198" s="1477"/>
      <c r="Q1198" s="1477"/>
      <c r="R1198" s="1480" t="s">
        <v>1107</v>
      </c>
      <c r="S1198" s="1477"/>
      <c r="T1198" s="1477"/>
      <c r="U1198" s="1477"/>
      <c r="V1198" s="1477"/>
      <c r="W1198" s="1477"/>
      <c r="X1198" s="1477"/>
      <c r="Y1198" s="1477"/>
      <c r="Z1198" s="1477"/>
    </row>
    <row r="1199" spans="1:26" x14ac:dyDescent="0.25">
      <c r="A1199" s="932" t="s">
        <v>1640</v>
      </c>
      <c r="B1199" s="906" t="str">
        <f ca="1">_xlfn.CONCAT(IFERROR(SUBSTITUTE(ADDRESS(1,MATCH(A1199,INDIRECT("'"&amp;E1199&amp;"'"&amp;"!A" &amp; $O$1188 + 5 &amp; ":Z" &amp; $O$1188 + 5),0),4),1,""),""),$O$1188+ 6)</f>
        <v>N483</v>
      </c>
      <c r="C1199" s="906" t="str">
        <f t="shared" ca="1" si="207"/>
        <v>N</v>
      </c>
      <c r="D1199" s="906" t="s">
        <v>1372</v>
      </c>
      <c r="E1199" s="906" t="s">
        <v>1535</v>
      </c>
      <c r="F1199" s="1192"/>
      <c r="G1199" s="906"/>
      <c r="H1199" s="906"/>
      <c r="I1199" s="1427" t="str">
        <f t="shared" si="200"/>
        <v/>
      </c>
      <c r="J1199" s="1480" t="str">
        <f t="shared" si="205"/>
        <v/>
      </c>
      <c r="K1199" s="1480" t="str">
        <f t="shared" si="201"/>
        <v/>
      </c>
      <c r="L1199" s="906" t="s">
        <v>1640</v>
      </c>
      <c r="M1199" s="1480">
        <v>1182</v>
      </c>
      <c r="N1199" s="1480"/>
      <c r="O1199" s="1477"/>
      <c r="P1199" s="1477"/>
      <c r="Q1199" s="1477"/>
      <c r="R1199" s="1480" t="s">
        <v>1107</v>
      </c>
      <c r="S1199" s="1477"/>
      <c r="T1199" s="1477"/>
      <c r="U1199" s="1477"/>
      <c r="V1199" s="1477"/>
      <c r="W1199" s="1477"/>
      <c r="X1199" s="1477"/>
      <c r="Y1199" s="1477"/>
      <c r="Z1199" s="1477"/>
    </row>
    <row r="1200" spans="1:26" x14ac:dyDescent="0.25">
      <c r="A1200" s="932" t="s">
        <v>1500</v>
      </c>
      <c r="B1200" s="906" t="str">
        <f ca="1">_xlfn.CONCAT(IFERROR(SUBSTITUTE(ADDRESS(1,MATCH(A1200,INDIRECT("'"&amp;E1200&amp;"'"&amp;"!A" &amp; $O$1188 + 5 &amp; ":Z" &amp; $O$1188 + 5),0),4),1,""),""),$O$1188+ 7)</f>
        <v>J484</v>
      </c>
      <c r="C1200" s="906" t="str">
        <f t="shared" ca="1" si="207"/>
        <v>J</v>
      </c>
      <c r="D1200" s="906" t="s">
        <v>1372</v>
      </c>
      <c r="E1200" s="906" t="s">
        <v>1535</v>
      </c>
      <c r="F1200" s="906"/>
      <c r="G1200" s="906"/>
      <c r="H1200" s="906"/>
      <c r="I1200" s="1427" t="str">
        <f t="shared" si="200"/>
        <v/>
      </c>
      <c r="J1200" s="1480" t="str">
        <f t="shared" si="205"/>
        <v/>
      </c>
      <c r="K1200" s="1480" t="str">
        <f t="shared" si="201"/>
        <v/>
      </c>
      <c r="L1200" s="906" t="s">
        <v>1500</v>
      </c>
      <c r="M1200" s="1480">
        <v>1183</v>
      </c>
      <c r="N1200" s="1480"/>
      <c r="O1200" s="1477"/>
      <c r="P1200" s="1477"/>
      <c r="Q1200" s="1477"/>
      <c r="R1200" s="1480" t="s">
        <v>1107</v>
      </c>
      <c r="S1200" s="1477"/>
      <c r="T1200" s="1477"/>
      <c r="U1200" s="1477"/>
      <c r="V1200" s="1477"/>
      <c r="W1200" s="1477"/>
      <c r="X1200" s="1477"/>
      <c r="Y1200" s="1477"/>
      <c r="Z1200" s="1477"/>
    </row>
    <row r="1201" spans="1:26" x14ac:dyDescent="0.25">
      <c r="A1201" s="932" t="s">
        <v>730</v>
      </c>
      <c r="B1201" s="906" t="str">
        <f ca="1">_xlfn.CONCAT(IFERROR(SUBSTITUTE(ADDRESS(1,MATCH(A1201,INDIRECT("'"&amp;E1201&amp;"'"&amp;"!A" &amp; $O$1188 + 5 &amp; ":Z" &amp; $O$1188 + 5),0),4),1,""),""),$O$1188+ 7)</f>
        <v>L484</v>
      </c>
      <c r="C1201" s="906" t="str">
        <f t="shared" ca="1" si="207"/>
        <v>L</v>
      </c>
      <c r="D1201" s="906" t="s">
        <v>1372</v>
      </c>
      <c r="E1201" s="906" t="s">
        <v>1535</v>
      </c>
      <c r="F1201" s="1192"/>
      <c r="G1201" s="906"/>
      <c r="H1201" s="906"/>
      <c r="I1201" s="1427" t="str">
        <f t="shared" si="200"/>
        <v/>
      </c>
      <c r="J1201" s="1480" t="str">
        <f t="shared" si="205"/>
        <v/>
      </c>
      <c r="K1201" s="1480" t="str">
        <f t="shared" si="201"/>
        <v/>
      </c>
      <c r="L1201" s="906" t="s">
        <v>730</v>
      </c>
      <c r="M1201" s="1480">
        <v>1184</v>
      </c>
      <c r="N1201" s="1480"/>
      <c r="O1201" s="1477"/>
      <c r="P1201" s="1477"/>
      <c r="Q1201" s="1477"/>
      <c r="R1201" s="1480" t="s">
        <v>1107</v>
      </c>
      <c r="S1201" s="1477"/>
      <c r="T1201" s="1477"/>
      <c r="U1201" s="1477"/>
      <c r="V1201" s="1477"/>
      <c r="W1201" s="1477"/>
      <c r="X1201" s="1477"/>
      <c r="Y1201" s="1477"/>
      <c r="Z1201" s="1477"/>
    </row>
    <row r="1202" spans="1:26" x14ac:dyDescent="0.25">
      <c r="A1202" s="932" t="s">
        <v>1640</v>
      </c>
      <c r="B1202" s="906" t="str">
        <f ca="1">_xlfn.CONCAT(IFERROR(SUBSTITUTE(ADDRESS(1,MATCH(A1202,INDIRECT("'"&amp;E1202&amp;"'"&amp;"!A" &amp; $O$1188 + 5 &amp; ":Z" &amp; $O$1188 + 5),0),4),1,""),""),$O$1188+ 7)</f>
        <v>N484</v>
      </c>
      <c r="C1202" s="906" t="str">
        <f t="shared" ca="1" si="207"/>
        <v>N</v>
      </c>
      <c r="D1202" s="906" t="s">
        <v>1372</v>
      </c>
      <c r="E1202" s="906" t="s">
        <v>1535</v>
      </c>
      <c r="F1202" s="1192"/>
      <c r="G1202" s="906"/>
      <c r="H1202" s="906"/>
      <c r="I1202" s="1427" t="str">
        <f t="shared" si="200"/>
        <v/>
      </c>
      <c r="J1202" s="1480" t="str">
        <f t="shared" si="205"/>
        <v/>
      </c>
      <c r="K1202" s="1480" t="str">
        <f t="shared" si="201"/>
        <v/>
      </c>
      <c r="L1202" s="906" t="s">
        <v>1640</v>
      </c>
      <c r="M1202" s="1480">
        <v>1185</v>
      </c>
      <c r="N1202" s="1480"/>
      <c r="O1202" s="1477"/>
      <c r="P1202" s="1477"/>
      <c r="Q1202" s="1477"/>
      <c r="R1202" s="1480" t="s">
        <v>1107</v>
      </c>
      <c r="S1202" s="1477"/>
      <c r="T1202" s="1477"/>
      <c r="U1202" s="1477"/>
      <c r="V1202" s="1477"/>
      <c r="W1202" s="1477"/>
      <c r="X1202" s="1477"/>
      <c r="Y1202" s="1477"/>
      <c r="Z1202" s="1477"/>
    </row>
    <row r="1203" spans="1:26" x14ac:dyDescent="0.25">
      <c r="A1203" s="932" t="s">
        <v>1500</v>
      </c>
      <c r="B1203" s="906" t="str">
        <f ca="1">_xlfn.CONCAT(IFERROR(SUBSTITUTE(ADDRESS(1,MATCH(A1203,INDIRECT("'"&amp;E1203&amp;"'"&amp;"!A" &amp; $O$1188 + 5 &amp; ":Z" &amp; $O$1188 + 5),0),4),1,""),""),$O$1188+ 8)</f>
        <v>J485</v>
      </c>
      <c r="C1203" s="906" t="str">
        <f t="shared" ca="1" si="207"/>
        <v>J</v>
      </c>
      <c r="D1203" s="906" t="s">
        <v>1372</v>
      </c>
      <c r="E1203" s="906" t="s">
        <v>1535</v>
      </c>
      <c r="F1203" s="1192"/>
      <c r="G1203" s="906"/>
      <c r="H1203" s="906"/>
      <c r="I1203" s="1427" t="str">
        <f t="shared" si="200"/>
        <v/>
      </c>
      <c r="J1203" s="1480" t="str">
        <f t="shared" si="205"/>
        <v/>
      </c>
      <c r="K1203" s="1480" t="str">
        <f t="shared" si="201"/>
        <v/>
      </c>
      <c r="L1203" s="906" t="s">
        <v>1500</v>
      </c>
      <c r="M1203" s="1480">
        <v>1186</v>
      </c>
      <c r="N1203" s="1480"/>
      <c r="O1203" s="1477"/>
      <c r="P1203" s="1477"/>
      <c r="Q1203" s="1477"/>
      <c r="R1203" s="1480" t="s">
        <v>1107</v>
      </c>
      <c r="S1203" s="1477"/>
      <c r="T1203" s="1477"/>
      <c r="U1203" s="1477"/>
      <c r="V1203" s="1477"/>
      <c r="W1203" s="1477"/>
      <c r="X1203" s="1477"/>
      <c r="Y1203" s="1477"/>
      <c r="Z1203" s="1477"/>
    </row>
    <row r="1204" spans="1:26" x14ac:dyDescent="0.25">
      <c r="A1204" s="932" t="s">
        <v>730</v>
      </c>
      <c r="B1204" s="906" t="str">
        <f ca="1">_xlfn.CONCAT(IFERROR(SUBSTITUTE(ADDRESS(1,MATCH(A1204,INDIRECT("'"&amp;E1204&amp;"'"&amp;"!A" &amp; $O$1188 + 5 &amp; ":Z" &amp; $O$1188 + 5),0),4),1,""),""),$O$1188+ 8)</f>
        <v>L485</v>
      </c>
      <c r="C1204" s="906" t="str">
        <f t="shared" ca="1" si="207"/>
        <v>L</v>
      </c>
      <c r="D1204" s="906" t="s">
        <v>1372</v>
      </c>
      <c r="E1204" s="906" t="s">
        <v>1535</v>
      </c>
      <c r="F1204" s="906"/>
      <c r="G1204" s="906"/>
      <c r="H1204" s="906"/>
      <c r="I1204" s="1427" t="str">
        <f t="shared" si="200"/>
        <v/>
      </c>
      <c r="J1204" s="1480" t="str">
        <f t="shared" si="205"/>
        <v/>
      </c>
      <c r="K1204" s="1480" t="str">
        <f t="shared" si="201"/>
        <v/>
      </c>
      <c r="L1204" s="906" t="s">
        <v>730</v>
      </c>
      <c r="M1204" s="1480">
        <v>1187</v>
      </c>
      <c r="N1204" s="1480"/>
      <c r="O1204" s="1477"/>
      <c r="P1204" s="1477"/>
      <c r="Q1204" s="1477"/>
      <c r="R1204" s="1480" t="s">
        <v>1107</v>
      </c>
      <c r="S1204" s="1477"/>
      <c r="T1204" s="1477"/>
      <c r="U1204" s="1477"/>
      <c r="V1204" s="1477"/>
      <c r="W1204" s="1477"/>
      <c r="X1204" s="1477"/>
      <c r="Y1204" s="1477"/>
      <c r="Z1204" s="1477"/>
    </row>
    <row r="1205" spans="1:26" x14ac:dyDescent="0.25">
      <c r="A1205" s="932" t="s">
        <v>1640</v>
      </c>
      <c r="B1205" s="906" t="str">
        <f ca="1">_xlfn.CONCAT(IFERROR(SUBSTITUTE(ADDRESS(1,MATCH(A1205,INDIRECT("'"&amp;E1205&amp;"'"&amp;"!A" &amp; $O$1188 + 5 &amp; ":Z" &amp; $O$1188 + 5),0),4),1,""),""),$O$1188+ 8)</f>
        <v>N485</v>
      </c>
      <c r="C1205" s="906" t="str">
        <f t="shared" ca="1" si="207"/>
        <v>N</v>
      </c>
      <c r="D1205" s="906" t="s">
        <v>1372</v>
      </c>
      <c r="E1205" s="906" t="s">
        <v>1535</v>
      </c>
      <c r="F1205" s="906"/>
      <c r="G1205" s="906"/>
      <c r="H1205" s="906"/>
      <c r="I1205" s="1427" t="str">
        <f t="shared" si="200"/>
        <v/>
      </c>
      <c r="J1205" s="1480" t="str">
        <f t="shared" si="205"/>
        <v/>
      </c>
      <c r="K1205" s="1480" t="str">
        <f t="shared" si="201"/>
        <v/>
      </c>
      <c r="L1205" s="906" t="s">
        <v>1640</v>
      </c>
      <c r="M1205" s="1480">
        <v>1188</v>
      </c>
      <c r="N1205" s="1480"/>
      <c r="O1205" s="1477"/>
      <c r="P1205" s="1477"/>
      <c r="Q1205" s="1477"/>
      <c r="R1205" s="1480" t="s">
        <v>1107</v>
      </c>
      <c r="S1205" s="1477"/>
      <c r="T1205" s="1477"/>
      <c r="U1205" s="1477"/>
      <c r="V1205" s="1477"/>
      <c r="W1205" s="1477"/>
      <c r="X1205" s="1477"/>
      <c r="Y1205" s="1477"/>
      <c r="Z1205" s="1477"/>
    </row>
    <row r="1206" spans="1:26" x14ac:dyDescent="0.25">
      <c r="A1206" s="932" t="s">
        <v>1500</v>
      </c>
      <c r="B1206" s="906" t="str">
        <f ca="1">_xlfn.CONCAT(IFERROR(SUBSTITUTE(ADDRESS(1,MATCH(A1206,INDIRECT("'"&amp;E1206&amp;"'"&amp;"!A" &amp; $O$1188 + 5 &amp; ":Z" &amp; $O$1188 + 5),0),4),1,""),""),$O$1188+ 9)</f>
        <v>J486</v>
      </c>
      <c r="C1206" s="906" t="str">
        <f t="shared" ca="1" si="207"/>
        <v>J</v>
      </c>
      <c r="D1206" s="906" t="s">
        <v>1372</v>
      </c>
      <c r="E1206" s="906" t="s">
        <v>1535</v>
      </c>
      <c r="F1206" s="906"/>
      <c r="G1206" s="906"/>
      <c r="H1206" s="906"/>
      <c r="I1206" s="1427" t="str">
        <f t="shared" si="200"/>
        <v/>
      </c>
      <c r="J1206" s="1480" t="str">
        <f t="shared" si="205"/>
        <v/>
      </c>
      <c r="K1206" s="1480" t="str">
        <f t="shared" si="201"/>
        <v/>
      </c>
      <c r="L1206" s="906" t="s">
        <v>1500</v>
      </c>
      <c r="M1206" s="1480">
        <v>1189</v>
      </c>
      <c r="N1206" s="1480"/>
      <c r="O1206" s="1477"/>
      <c r="P1206" s="1477"/>
      <c r="Q1206" s="1477"/>
      <c r="R1206" s="1480" t="s">
        <v>1107</v>
      </c>
      <c r="S1206" s="1477"/>
      <c r="T1206" s="1477"/>
      <c r="U1206" s="1477"/>
      <c r="V1206" s="1477"/>
      <c r="W1206" s="1477"/>
      <c r="X1206" s="1477"/>
      <c r="Y1206" s="1477"/>
      <c r="Z1206" s="1477"/>
    </row>
    <row r="1207" spans="1:26" x14ac:dyDescent="0.25">
      <c r="A1207" s="932" t="s">
        <v>730</v>
      </c>
      <c r="B1207" s="906" t="str">
        <f ca="1">_xlfn.CONCAT(IFERROR(SUBSTITUTE(ADDRESS(1,MATCH(A1207,INDIRECT("'"&amp;E1207&amp;"'"&amp;"!A" &amp; $O$1188 + 5 &amp; ":Z" &amp; $O$1188 + 5),0),4),1,""),""),$O$1188+ 9)</f>
        <v>L486</v>
      </c>
      <c r="C1207" s="906" t="str">
        <f t="shared" ca="1" si="207"/>
        <v>L</v>
      </c>
      <c r="D1207" s="906" t="s">
        <v>1372</v>
      </c>
      <c r="E1207" s="906" t="s">
        <v>1535</v>
      </c>
      <c r="F1207" s="906"/>
      <c r="G1207" s="906"/>
      <c r="H1207" s="906"/>
      <c r="I1207" s="1427" t="str">
        <f t="shared" si="200"/>
        <v/>
      </c>
      <c r="J1207" s="1480" t="str">
        <f t="shared" si="205"/>
        <v/>
      </c>
      <c r="K1207" s="1480" t="str">
        <f t="shared" si="201"/>
        <v/>
      </c>
      <c r="L1207" s="906" t="s">
        <v>730</v>
      </c>
      <c r="M1207" s="1480">
        <v>1190</v>
      </c>
      <c r="N1207" s="1480"/>
      <c r="O1207" s="1477"/>
      <c r="P1207" s="1477"/>
      <c r="Q1207" s="1477"/>
      <c r="R1207" s="1480" t="s">
        <v>1107</v>
      </c>
      <c r="S1207" s="1477"/>
      <c r="T1207" s="1477"/>
      <c r="U1207" s="1477"/>
      <c r="V1207" s="1477"/>
      <c r="W1207" s="1477"/>
      <c r="X1207" s="1477"/>
      <c r="Y1207" s="1477"/>
      <c r="Z1207" s="1477"/>
    </row>
    <row r="1208" spans="1:26" x14ac:dyDescent="0.25">
      <c r="A1208" s="932" t="s">
        <v>1640</v>
      </c>
      <c r="B1208" s="906" t="str">
        <f ca="1">_xlfn.CONCAT(IFERROR(SUBSTITUTE(ADDRESS(1,MATCH(A1208,INDIRECT("'"&amp;E1208&amp;"'"&amp;"!A" &amp; $O$1188 + 5 &amp; ":Z" &amp; $O$1188 + 5),0),4),1,""),""),$O$1188+ 9)</f>
        <v>N486</v>
      </c>
      <c r="C1208" s="906" t="str">
        <f t="shared" ca="1" si="207"/>
        <v>N</v>
      </c>
      <c r="D1208" s="906" t="s">
        <v>1372</v>
      </c>
      <c r="E1208" s="906" t="s">
        <v>1535</v>
      </c>
      <c r="F1208" s="906"/>
      <c r="G1208" s="906"/>
      <c r="H1208" s="906"/>
      <c r="I1208" s="1427" t="str">
        <f t="shared" si="200"/>
        <v/>
      </c>
      <c r="J1208" s="1480" t="str">
        <f t="shared" si="205"/>
        <v/>
      </c>
      <c r="K1208" s="1480" t="str">
        <f t="shared" si="201"/>
        <v/>
      </c>
      <c r="L1208" s="906" t="s">
        <v>1640</v>
      </c>
      <c r="M1208" s="1480">
        <v>1191</v>
      </c>
      <c r="N1208" s="1480"/>
      <c r="O1208" s="1477"/>
      <c r="P1208" s="1477"/>
      <c r="Q1208" s="1477"/>
      <c r="R1208" s="1480" t="s">
        <v>1107</v>
      </c>
      <c r="S1208" s="1477"/>
      <c r="T1208" s="1477"/>
      <c r="U1208" s="1477"/>
      <c r="V1208" s="1477"/>
      <c r="W1208" s="1477"/>
      <c r="X1208" s="1477"/>
      <c r="Y1208" s="1477"/>
      <c r="Z1208" s="1477"/>
    </row>
    <row r="1209" spans="1:26" x14ac:dyDescent="0.25">
      <c r="A1209" s="932" t="s">
        <v>1500</v>
      </c>
      <c r="B1209" s="906" t="str">
        <f ca="1">_xlfn.CONCAT(IFERROR(SUBSTITUTE(ADDRESS(1,MATCH(A1209,INDIRECT("'"&amp;E1209&amp;"'"&amp;"!A" &amp; $O$1188 + 5 &amp; ":Z" &amp; $O$1188 + 5),0),4),1,""),""),$O$1188+ 10)</f>
        <v>J487</v>
      </c>
      <c r="C1209" s="906" t="str">
        <f t="shared" ca="1" si="207"/>
        <v>J</v>
      </c>
      <c r="D1209" s="906" t="s">
        <v>1372</v>
      </c>
      <c r="E1209" s="906" t="s">
        <v>1535</v>
      </c>
      <c r="F1209" s="906"/>
      <c r="G1209" s="906"/>
      <c r="H1209" s="906"/>
      <c r="I1209" s="1427" t="str">
        <f t="shared" si="200"/>
        <v/>
      </c>
      <c r="J1209" s="1480" t="str">
        <f t="shared" si="205"/>
        <v/>
      </c>
      <c r="K1209" s="1480" t="str">
        <f t="shared" si="201"/>
        <v/>
      </c>
      <c r="L1209" s="906" t="s">
        <v>1500</v>
      </c>
      <c r="M1209" s="1480">
        <v>1192</v>
      </c>
      <c r="N1209" s="1480"/>
      <c r="O1209" s="1477"/>
      <c r="P1209" s="1477"/>
      <c r="Q1209" s="1477"/>
      <c r="R1209" s="1480" t="s">
        <v>1107</v>
      </c>
      <c r="S1209" s="1477"/>
      <c r="T1209" s="1477"/>
      <c r="U1209" s="1477"/>
      <c r="V1209" s="1477"/>
      <c r="W1209" s="1477"/>
      <c r="X1209" s="1477"/>
      <c r="Y1209" s="1477"/>
      <c r="Z1209" s="1477"/>
    </row>
    <row r="1210" spans="1:26" x14ac:dyDescent="0.25">
      <c r="A1210" s="932" t="s">
        <v>730</v>
      </c>
      <c r="B1210" s="906" t="str">
        <f ca="1">_xlfn.CONCAT(IFERROR(SUBSTITUTE(ADDRESS(1,MATCH(A1210,INDIRECT("'"&amp;E1210&amp;"'"&amp;"!A" &amp; $O$1188 + 5 &amp; ":Z" &amp; $O$1188 + 5),0),4),1,""),""),$O$1188+ 10)</f>
        <v>L487</v>
      </c>
      <c r="C1210" s="906" t="str">
        <f t="shared" ca="1" si="207"/>
        <v>L</v>
      </c>
      <c r="D1210" s="906" t="s">
        <v>1372</v>
      </c>
      <c r="E1210" s="906" t="s">
        <v>1535</v>
      </c>
      <c r="F1210" s="906"/>
      <c r="G1210" s="906"/>
      <c r="H1210" s="906"/>
      <c r="I1210" s="1427" t="str">
        <f t="shared" si="200"/>
        <v/>
      </c>
      <c r="J1210" s="1480" t="str">
        <f t="shared" si="205"/>
        <v/>
      </c>
      <c r="K1210" s="1480" t="str">
        <f t="shared" si="201"/>
        <v/>
      </c>
      <c r="L1210" s="906" t="s">
        <v>730</v>
      </c>
      <c r="M1210" s="1480">
        <v>1193</v>
      </c>
      <c r="N1210" s="1480"/>
      <c r="O1210" s="1477"/>
      <c r="P1210" s="1477"/>
      <c r="Q1210" s="1477"/>
      <c r="R1210" s="1480" t="s">
        <v>1107</v>
      </c>
      <c r="S1210" s="1477"/>
      <c r="T1210" s="1477"/>
      <c r="U1210" s="1477"/>
      <c r="V1210" s="1477"/>
      <c r="W1210" s="1477"/>
      <c r="X1210" s="1477"/>
      <c r="Y1210" s="1477"/>
      <c r="Z1210" s="1477"/>
    </row>
    <row r="1211" spans="1:26" x14ac:dyDescent="0.25">
      <c r="A1211" s="932" t="s">
        <v>1640</v>
      </c>
      <c r="B1211" s="906" t="str">
        <f ca="1">_xlfn.CONCAT(IFERROR(SUBSTITUTE(ADDRESS(1,MATCH(A1211,INDIRECT("'"&amp;E1211&amp;"'"&amp;"!A" &amp; $O$1188 + 5 &amp; ":Z" &amp; $O$1188 + 5),0),4),1,""),""),$O$1188+ 10)</f>
        <v>N487</v>
      </c>
      <c r="C1211" s="906" t="str">
        <f t="shared" ca="1" si="207"/>
        <v>N</v>
      </c>
      <c r="D1211" s="906" t="s">
        <v>1372</v>
      </c>
      <c r="E1211" s="906" t="s">
        <v>1535</v>
      </c>
      <c r="F1211" s="906"/>
      <c r="G1211" s="906"/>
      <c r="H1211" s="906"/>
      <c r="I1211" s="1427" t="str">
        <f t="shared" si="200"/>
        <v/>
      </c>
      <c r="J1211" s="1480" t="str">
        <f t="shared" si="205"/>
        <v/>
      </c>
      <c r="K1211" s="1480" t="str">
        <f t="shared" si="201"/>
        <v/>
      </c>
      <c r="L1211" s="906" t="s">
        <v>1640</v>
      </c>
      <c r="M1211" s="1480">
        <v>1194</v>
      </c>
      <c r="N1211" s="1480"/>
      <c r="O1211" s="1477"/>
      <c r="P1211" s="1477"/>
      <c r="Q1211" s="1477"/>
      <c r="R1211" s="1480" t="s">
        <v>1107</v>
      </c>
      <c r="S1211" s="1477"/>
      <c r="T1211" s="1477"/>
      <c r="U1211" s="1477"/>
      <c r="V1211" s="1477"/>
      <c r="W1211" s="1477"/>
      <c r="X1211" s="1477"/>
      <c r="Y1211" s="1477"/>
      <c r="Z1211" s="1477"/>
    </row>
    <row r="1212" spans="1:26"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80" t="s">
        <v>1510</v>
      </c>
      <c r="G1212" s="1480" t="str">
        <f>IF(T1212&lt;&gt;"","A","")</f>
        <v>A</v>
      </c>
      <c r="H1212" s="1480" t="s">
        <v>2063</v>
      </c>
      <c r="I1212" s="1427" t="str">
        <f t="shared" si="200"/>
        <v/>
      </c>
      <c r="J1212" s="1480"/>
      <c r="K1212" s="1480" t="str">
        <f t="shared" si="201"/>
        <v/>
      </c>
      <c r="L1212" s="906" t="s">
        <v>1510</v>
      </c>
      <c r="M1212" s="1480">
        <v>1195</v>
      </c>
      <c r="N1212" s="1480"/>
      <c r="O1212" s="1477" t="s">
        <v>728</v>
      </c>
      <c r="P1212" s="1477"/>
      <c r="Q1212" s="1477"/>
      <c r="R1212" s="1480" t="s">
        <v>1165</v>
      </c>
      <c r="S1212" s="1477"/>
      <c r="T1212" s="1480">
        <f>IF(Q$1213="Yes",35,"")</f>
        <v>35</v>
      </c>
      <c r="U1212" s="1477"/>
      <c r="V1212" s="1477"/>
      <c r="W1212" s="1477"/>
      <c r="X1212" s="1477"/>
      <c r="Y1212" s="1477"/>
      <c r="Z1212" s="1477"/>
    </row>
    <row r="1213" spans="1:26"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80"/>
      <c r="G1213" s="1480"/>
      <c r="H1213" s="1480"/>
      <c r="I1213" s="1427" t="str">
        <f t="shared" si="200"/>
        <v>Offer This Incentive?</v>
      </c>
      <c r="J1213" s="1480" t="str">
        <f t="shared" ref="J1213:J1218" si="208">IF(M1213&lt;&gt;"",IF($Q$1213="Yes",Q$1&amp;M1213,""))</f>
        <v>F1196</v>
      </c>
      <c r="K1213" s="1480" t="str">
        <f t="shared" si="201"/>
        <v>Incentives Worksheet</v>
      </c>
      <c r="L1213" s="906" t="s">
        <v>1724</v>
      </c>
      <c r="M1213" s="1480">
        <v>1196</v>
      </c>
      <c r="N1213" s="1480"/>
      <c r="O1213" s="1477">
        <f>'Configurable Tab'!H37</f>
        <v>491</v>
      </c>
      <c r="P1213" s="1477"/>
      <c r="Q1213" s="1477" t="s">
        <v>649</v>
      </c>
      <c r="R1213" s="1480" t="s">
        <v>1165</v>
      </c>
      <c r="S1213" s="1477"/>
      <c r="T1213" s="1480">
        <f t="shared" ref="T1213:T1217" si="209">IF(Q$1213="Yes",35,"")</f>
        <v>35</v>
      </c>
      <c r="U1213" s="1477"/>
      <c r="V1213" s="1477"/>
      <c r="W1213" s="1477"/>
      <c r="X1213" s="1477"/>
      <c r="Y1213" s="1477"/>
      <c r="Z1213" s="1477"/>
    </row>
    <row r="1214" spans="1:26"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80" t="s">
        <v>1399</v>
      </c>
      <c r="G1214" s="1480" t="str">
        <f>IF(T1214&lt;&gt;"","B","")</f>
        <v>B</v>
      </c>
      <c r="H1214" s="1480" t="s">
        <v>2063</v>
      </c>
      <c r="I1214" s="1427" t="str">
        <f t="shared" si="200"/>
        <v/>
      </c>
      <c r="J1214" s="1480"/>
      <c r="K1214" s="1480" t="str">
        <f t="shared" si="201"/>
        <v/>
      </c>
      <c r="L1214" s="906" t="s">
        <v>1399</v>
      </c>
      <c r="M1214" s="1480">
        <v>1197</v>
      </c>
      <c r="N1214" s="1480"/>
      <c r="O1214" s="1477" t="s">
        <v>729</v>
      </c>
      <c r="P1214" s="1477"/>
      <c r="Q1214" s="1477"/>
      <c r="R1214" s="1480" t="s">
        <v>1165</v>
      </c>
      <c r="S1214" s="1477"/>
      <c r="T1214" s="1480">
        <f t="shared" si="209"/>
        <v>35</v>
      </c>
      <c r="U1214" s="1477"/>
      <c r="V1214" s="1477"/>
      <c r="W1214" s="1477"/>
      <c r="X1214" s="1477"/>
      <c r="Y1214" s="1477"/>
      <c r="Z1214" s="1477"/>
    </row>
    <row r="1215" spans="1:26"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80" t="s">
        <v>2065</v>
      </c>
      <c r="G1215" s="1480" t="str">
        <f>IF(T1215&lt;&gt;"","I","")</f>
        <v>I</v>
      </c>
      <c r="H1215" s="1480" t="s">
        <v>2063</v>
      </c>
      <c r="I1215" s="1427" t="str">
        <f t="shared" si="200"/>
        <v>Payment Method</v>
      </c>
      <c r="J1215" s="1480" t="str">
        <f t="shared" si="208"/>
        <v>F1198</v>
      </c>
      <c r="K1215" s="1480" t="str">
        <f t="shared" si="201"/>
        <v>Incentives Worksheet</v>
      </c>
      <c r="L1215" s="906" t="s">
        <v>1397</v>
      </c>
      <c r="M1215" s="1480">
        <v>1198</v>
      </c>
      <c r="N1215" s="1480"/>
      <c r="O1215" s="1477">
        <f>'Configurable Tab'!I37</f>
        <v>502</v>
      </c>
      <c r="P1215" s="1477"/>
      <c r="Q1215" s="1477" t="s">
        <v>484</v>
      </c>
      <c r="R1215" s="1480" t="s">
        <v>1165</v>
      </c>
      <c r="S1215" s="1477"/>
      <c r="T1215" s="1480">
        <f t="shared" si="209"/>
        <v>35</v>
      </c>
      <c r="U1215" s="1477"/>
      <c r="V1215" s="1477"/>
      <c r="W1215" s="1477"/>
      <c r="X1215" s="1477"/>
      <c r="Y1215" s="1477"/>
      <c r="Z1215" s="1477"/>
    </row>
    <row r="1216" spans="1:26"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80" t="s">
        <v>1401</v>
      </c>
      <c r="G1216" s="1480" t="str">
        <f>IF(T1216&lt;&gt;"","C","")</f>
        <v>C</v>
      </c>
      <c r="H1216" s="1480" t="s">
        <v>2063</v>
      </c>
      <c r="I1216" s="1427" t="str">
        <f t="shared" si="200"/>
        <v/>
      </c>
      <c r="J1216" s="1480"/>
      <c r="K1216" s="1480" t="str">
        <f t="shared" si="201"/>
        <v/>
      </c>
      <c r="L1216" s="906" t="s">
        <v>1401</v>
      </c>
      <c r="M1216" s="1480">
        <v>1199</v>
      </c>
      <c r="N1216" s="1480"/>
      <c r="O1216" s="1477" t="s">
        <v>1681</v>
      </c>
      <c r="P1216" s="1477"/>
      <c r="Q1216" s="1477"/>
      <c r="R1216" s="1480" t="s">
        <v>1165</v>
      </c>
      <c r="S1216" s="1477"/>
      <c r="T1216" s="1480">
        <f t="shared" si="209"/>
        <v>35</v>
      </c>
      <c r="U1216" s="1477"/>
      <c r="V1216" s="1477"/>
      <c r="W1216" s="1477"/>
      <c r="X1216" s="1477"/>
      <c r="Y1216" s="1477"/>
      <c r="Z1216" s="1477"/>
    </row>
    <row r="1217" spans="1:26"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80" t="s">
        <v>1402</v>
      </c>
      <c r="G1217" s="1480" t="str">
        <f>IF(T1217&lt;&gt;"","D","")</f>
        <v>D</v>
      </c>
      <c r="H1217" s="1480" t="s">
        <v>2063</v>
      </c>
      <c r="I1217" s="1427" t="str">
        <f t="shared" si="200"/>
        <v/>
      </c>
      <c r="J1217" s="1480"/>
      <c r="K1217" s="1480" t="str">
        <f t="shared" si="201"/>
        <v/>
      </c>
      <c r="L1217" s="906" t="s">
        <v>1402</v>
      </c>
      <c r="M1217" s="1480">
        <v>1200</v>
      </c>
      <c r="N1217" s="1480"/>
      <c r="O1217" s="1477"/>
      <c r="P1217" s="1477"/>
      <c r="Q1217" s="1477"/>
      <c r="R1217" s="1480" t="s">
        <v>1165</v>
      </c>
      <c r="S1217" s="1477"/>
      <c r="T1217" s="1480">
        <f t="shared" si="209"/>
        <v>35</v>
      </c>
      <c r="U1217" s="1477"/>
      <c r="V1217" s="1477"/>
      <c r="W1217" s="1477"/>
      <c r="X1217" s="1477"/>
      <c r="Y1217" s="1477"/>
      <c r="Z1217" s="1477"/>
    </row>
    <row r="1218" spans="1:26"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80" t="s">
        <v>1514</v>
      </c>
      <c r="G1218" s="1480" t="str">
        <f>IF(T1218&lt;&gt;"","AN","")</f>
        <v>AN</v>
      </c>
      <c r="H1218" s="1480" t="s">
        <v>2063</v>
      </c>
      <c r="I1218" s="1427" t="str">
        <f t="shared" si="200"/>
        <v>Incentive Dates Match Agreement Dates Flag</v>
      </c>
      <c r="J1218" s="1480" t="str">
        <f t="shared" si="208"/>
        <v>F1201</v>
      </c>
      <c r="K1218" s="1480" t="str">
        <f t="shared" si="201"/>
        <v>Incentives Worksheet</v>
      </c>
      <c r="L1218" s="906" t="s">
        <v>1514</v>
      </c>
      <c r="M1218" s="1480">
        <v>1201</v>
      </c>
      <c r="N1218" s="1480"/>
      <c r="O1218" s="1477"/>
      <c r="P1218" s="1484" t="str" cm="1">
        <f t="array" aca="1" ref="P1218" ca="1">_xlfn.CONCAT("F",RIGHT(B1218, LEN(B1218) - MAX(IF(ISNUMBER(MID(B1218, ROW(INDIRECT("1:"&amp;LEN(B1218))), 1) *1)=FALSE, ROW(INDIRECT("1:"&amp;LEN(B1218))), 0))))</f>
        <v>F501</v>
      </c>
      <c r="Q1218" s="1480" t="str" cm="1">
        <f t="array" aca="1" ref="Q1218" ca="1">_xlfn.CONCAT("E",RIGHT(C1218, LEN(C1218) - MAX(IF(ISNUMBER(MID(C1218, ROW(INDIRECT("1:"&amp;LEN(C1218))), 1) *1)=FALSE, ROW(INDIRECT("1:"&amp;LEN(C1218))), 0))))</f>
        <v>E501</v>
      </c>
      <c r="R1218" s="1480" t="s">
        <v>1165</v>
      </c>
      <c r="S1218" s="1477"/>
      <c r="T1218" s="1480">
        <f>IF(Q$1213="Yes",35,"")</f>
        <v>35</v>
      </c>
      <c r="U1218" s="1477"/>
      <c r="V1218" s="1477"/>
      <c r="W1218" s="1477"/>
      <c r="X1218" s="1477"/>
      <c r="Y1218" s="1477"/>
      <c r="Z1218" s="1477"/>
    </row>
    <row r="1219" spans="1:26"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80" t="s">
        <v>2070</v>
      </c>
      <c r="G1219" s="1480" t="str">
        <f>IF(T1219&lt;&gt;"","T","")</f>
        <v>T</v>
      </c>
      <c r="H1219" s="1480" t="s">
        <v>2063</v>
      </c>
      <c r="I1219" s="1427" t="str">
        <f t="shared" si="200"/>
        <v/>
      </c>
      <c r="J1219" s="1480"/>
      <c r="K1219" s="1480" t="str">
        <f t="shared" si="201"/>
        <v/>
      </c>
      <c r="L1219" s="906" t="s">
        <v>1405</v>
      </c>
      <c r="M1219" s="1480">
        <v>1202</v>
      </c>
      <c r="N1219" s="1480"/>
      <c r="O1219" s="1477"/>
      <c r="P1219" s="1477"/>
      <c r="Q1219" s="1477"/>
      <c r="R1219" s="1480" t="s">
        <v>1165</v>
      </c>
      <c r="S1219" s="1477"/>
      <c r="T1219" s="1480">
        <f>IF(Q$1213="Yes",35,"")</f>
        <v>35</v>
      </c>
      <c r="U1219" s="1477"/>
      <c r="V1219" s="1477"/>
      <c r="W1219" s="1477"/>
      <c r="X1219" s="1477"/>
      <c r="Y1219" s="1477"/>
      <c r="Z1219" s="1477"/>
    </row>
    <row r="1220" spans="1:26" hidden="1" x14ac:dyDescent="0.25">
      <c r="A1220" s="1480" t="s">
        <v>1837</v>
      </c>
      <c r="B1220" s="1427" t="str">
        <f>IFERROR(_xlfn.CONCAT("C",MATCH(A1220,Welcome!C$1:C$60,0)),"")</f>
        <v>C12</v>
      </c>
      <c r="C1220" s="1427" t="str">
        <f>IFERROR(_xlfn.CONCAT("D",MATCH(A1220,Welcome!C$1:C$61,0)),"")</f>
        <v>D12</v>
      </c>
      <c r="D1220" s="867" t="s">
        <v>1365</v>
      </c>
      <c r="E1220" s="867" t="s">
        <v>1389</v>
      </c>
      <c r="F1220" s="1480"/>
      <c r="G1220" s="1480"/>
      <c r="H1220" s="1480"/>
      <c r="I1220" s="1480" t="s">
        <v>1837</v>
      </c>
      <c r="J1220" s="1480" t="str">
        <f>Q$1&amp;M159</f>
        <v>F8</v>
      </c>
      <c r="K1220" s="1480" t="str">
        <f t="shared" ref="K1220:K1283" si="210">IF(J1220&lt;&gt;"",E1220,"")</f>
        <v>Welcome</v>
      </c>
      <c r="L1220" s="1480"/>
      <c r="M1220" s="1480"/>
      <c r="N1220" s="1480"/>
      <c r="O1220" s="1477"/>
      <c r="P1220" s="1477"/>
      <c r="Q1220" s="1477"/>
      <c r="R1220" s="1477"/>
      <c r="S1220" s="1477"/>
      <c r="T1220" s="1477"/>
      <c r="U1220" s="1477"/>
      <c r="V1220" s="1477"/>
      <c r="W1220" s="1477"/>
      <c r="X1220" s="1477"/>
      <c r="Y1220" s="1477"/>
      <c r="Z1220" s="1477"/>
    </row>
    <row r="1221" spans="1:26" hidden="1" x14ac:dyDescent="0.25">
      <c r="A1221" s="926" t="s">
        <v>1188</v>
      </c>
      <c r="B1221" s="867" t="str">
        <f ca="1">_xlfn.IFNA(_xlfn.CONCAT(SUBSTITUTE(ADDRESS(1,MATCH(A1221,INDIRECT("'"&amp;E1221&amp;"'"&amp;"!A5:Z5"),0),4),1,""),6),"")</f>
        <v>G6</v>
      </c>
      <c r="C1221" s="867" t="str">
        <f t="shared" ref="C1221:C1240" ca="1" si="211">_xlfn.IFNA(SUBSTITUTE(ADDRESS(1,MATCH(A1221,INDIRECT("'"&amp;E1221&amp;"'"&amp;"!A5:Z5"),0),4),1,""),"")</f>
        <v>G</v>
      </c>
      <c r="D1221" s="1480" t="s">
        <v>1372</v>
      </c>
      <c r="E1221" s="867" t="s">
        <v>876</v>
      </c>
      <c r="F1221" s="1480"/>
      <c r="G1221" s="1480"/>
      <c r="H1221" s="1480"/>
      <c r="I1221" s="1427" t="str">
        <f t="shared" ref="I1221:I1282" si="212">IF(J1221&lt;&gt;"",A1221,"")</f>
        <v>Shipping Location Number</v>
      </c>
      <c r="J1221" s="1480" t="str">
        <f>IFERROR(Q$1&amp;M167,"")</f>
        <v>F34</v>
      </c>
      <c r="K1221" s="1480" t="str">
        <f t="shared" si="210"/>
        <v>Customer Inputs</v>
      </c>
      <c r="L1221" s="1480"/>
      <c r="M1221" s="1480"/>
      <c r="N1221" s="1480"/>
      <c r="O1221" s="1477"/>
      <c r="P1221" s="1480" t="str">
        <f>IFERROR(VLOOKUP(Q$167,'Existing Customers'!$A:$F,1,FALSE),"")</f>
        <v/>
      </c>
      <c r="Q1221" s="1477"/>
      <c r="R1221" s="1477"/>
      <c r="S1221" s="1477"/>
      <c r="T1221" s="1477"/>
      <c r="U1221" s="1477"/>
      <c r="V1221" s="1477"/>
      <c r="W1221" s="1477"/>
      <c r="X1221" s="1477"/>
      <c r="Y1221" s="1477"/>
      <c r="Z1221" s="1477"/>
    </row>
    <row r="1222" spans="1:26" hidden="1" x14ac:dyDescent="0.25">
      <c r="A1222" s="924" t="s">
        <v>1188</v>
      </c>
      <c r="B1222" s="867" t="str">
        <f ca="1">_xlfn.IFNA(_xlfn.CONCAT(SUBSTITUTE(ADDRESS(1,MATCH(A1222,INDIRECT("'"&amp;E1222&amp;"'"&amp;"!A5:Z5"),0),4),1,""),7),"")</f>
        <v>G7</v>
      </c>
      <c r="C1222" s="867" t="str">
        <f t="shared" ca="1" si="211"/>
        <v>G</v>
      </c>
      <c r="D1222" s="1480" t="s">
        <v>1372</v>
      </c>
      <c r="E1222" s="867" t="s">
        <v>876</v>
      </c>
      <c r="F1222" s="1480"/>
      <c r="G1222" s="1480"/>
      <c r="H1222" s="1480"/>
      <c r="I1222" s="1427" t="str">
        <f t="shared" si="212"/>
        <v>Shipping Location Number</v>
      </c>
      <c r="J1222" s="1480" t="str">
        <f>IFERROR(Q$1&amp;M178,"")</f>
        <v>F55</v>
      </c>
      <c r="K1222" s="1480" t="str">
        <f t="shared" si="210"/>
        <v>Customer Inputs</v>
      </c>
      <c r="L1222" s="1480"/>
      <c r="M1222" s="1480"/>
      <c r="N1222" s="1480"/>
      <c r="O1222" s="1477"/>
      <c r="P1222" s="1480" t="str">
        <f>IFERROR(VLOOKUP(Q$178,'Existing Customers'!$A:$F,1,FALSE),"")</f>
        <v/>
      </c>
      <c r="Q1222" s="1477"/>
      <c r="R1222" s="1477"/>
      <c r="S1222" s="1477"/>
      <c r="T1222" s="1477"/>
      <c r="U1222" s="1477"/>
      <c r="V1222" s="1477"/>
      <c r="W1222" s="1477"/>
      <c r="X1222" s="1477"/>
      <c r="Y1222" s="1477"/>
      <c r="Z1222" s="1477"/>
    </row>
    <row r="1223" spans="1:26" hidden="1" x14ac:dyDescent="0.25">
      <c r="A1223" s="926" t="s">
        <v>1188</v>
      </c>
      <c r="B1223" s="867" t="str">
        <f ca="1">_xlfn.IFNA(_xlfn.CONCAT(SUBSTITUTE(ADDRESS(1,MATCH(A1223,INDIRECT("'"&amp;E1223&amp;"'"&amp;"!A5:Z5"),0),4),1,""),8),"")</f>
        <v>G8</v>
      </c>
      <c r="C1223" s="867" t="str">
        <f t="shared" ca="1" si="211"/>
        <v>G</v>
      </c>
      <c r="D1223" s="1480" t="s">
        <v>1372</v>
      </c>
      <c r="E1223" s="867" t="s">
        <v>876</v>
      </c>
      <c r="F1223" s="1480"/>
      <c r="G1223" s="1480"/>
      <c r="H1223" s="1480"/>
      <c r="I1223" s="1427" t="str">
        <f t="shared" si="212"/>
        <v>Shipping Location Number</v>
      </c>
      <c r="J1223" s="1480" t="str">
        <f>IFERROR(Q$1&amp;M189,"")</f>
        <v>F76</v>
      </c>
      <c r="K1223" s="1480" t="str">
        <f t="shared" si="210"/>
        <v>Customer Inputs</v>
      </c>
      <c r="L1223" s="1480"/>
      <c r="M1223" s="1480"/>
      <c r="N1223" s="1480"/>
      <c r="O1223" s="1477"/>
      <c r="P1223" s="1480" t="str">
        <f>IFERROR(VLOOKUP(Q$189,'Existing Customers'!$A:$F,1,FALSE),"")</f>
        <v/>
      </c>
      <c r="Q1223" s="1477"/>
      <c r="R1223" s="1477"/>
      <c r="S1223" s="1477"/>
      <c r="T1223" s="1477"/>
      <c r="U1223" s="1477"/>
      <c r="V1223" s="1477"/>
      <c r="W1223" s="1477"/>
      <c r="X1223" s="1477"/>
      <c r="Y1223" s="1477"/>
      <c r="Z1223" s="1477"/>
    </row>
    <row r="1224" spans="1:26" hidden="1" x14ac:dyDescent="0.25">
      <c r="A1224" s="924" t="s">
        <v>1188</v>
      </c>
      <c r="B1224" s="867" t="str">
        <f ca="1">_xlfn.IFNA(_xlfn.CONCAT(SUBSTITUTE(ADDRESS(1,MATCH(A1224,INDIRECT("'"&amp;E1224&amp;"'"&amp;"!A5:Z5"),0),4),1,""),9),"")</f>
        <v>G9</v>
      </c>
      <c r="C1224" s="867" t="str">
        <f t="shared" ca="1" si="211"/>
        <v>G</v>
      </c>
      <c r="D1224" s="1480" t="s">
        <v>1372</v>
      </c>
      <c r="E1224" s="867" t="s">
        <v>876</v>
      </c>
      <c r="F1224" s="1480"/>
      <c r="G1224" s="1480"/>
      <c r="H1224" s="1480"/>
      <c r="I1224" s="1427" t="str">
        <f t="shared" si="212"/>
        <v>Shipping Location Number</v>
      </c>
      <c r="J1224" s="1480" t="str">
        <f>IFERROR(Q$1&amp;M200,"")</f>
        <v>F97</v>
      </c>
      <c r="K1224" s="1480" t="str">
        <f t="shared" si="210"/>
        <v>Customer Inputs</v>
      </c>
      <c r="L1224" s="1480"/>
      <c r="M1224" s="1480"/>
      <c r="N1224" s="1480"/>
      <c r="O1224" s="1477"/>
      <c r="P1224" s="1480" t="str">
        <f>IFERROR(VLOOKUP(Q$200,'Existing Customers'!$A:$F,1,FALSE),"")</f>
        <v/>
      </c>
      <c r="Q1224" s="1477"/>
      <c r="R1224" s="1477"/>
      <c r="S1224" s="1477"/>
      <c r="T1224" s="1477"/>
      <c r="U1224" s="1477"/>
      <c r="V1224" s="1477"/>
      <c r="W1224" s="1477"/>
      <c r="X1224" s="1477"/>
      <c r="Y1224" s="1477"/>
      <c r="Z1224" s="1477"/>
    </row>
    <row r="1225" spans="1:26" hidden="1" x14ac:dyDescent="0.25">
      <c r="A1225" s="926" t="s">
        <v>1188</v>
      </c>
      <c r="B1225" s="867" t="str">
        <f ca="1">_xlfn.IFNA(_xlfn.CONCAT(SUBSTITUTE(ADDRESS(1,MATCH(A1225,INDIRECT("'"&amp;E1225&amp;"'"&amp;"!A5:Z5"),0),4),1,""),10),"")</f>
        <v>G10</v>
      </c>
      <c r="C1225" s="867" t="str">
        <f t="shared" ca="1" si="211"/>
        <v>G</v>
      </c>
      <c r="D1225" s="1480" t="s">
        <v>1372</v>
      </c>
      <c r="E1225" s="867" t="s">
        <v>876</v>
      </c>
      <c r="F1225" s="1480"/>
      <c r="G1225" s="1480"/>
      <c r="H1225" s="1480"/>
      <c r="I1225" s="1427" t="str">
        <f t="shared" si="212"/>
        <v>Shipping Location Number</v>
      </c>
      <c r="J1225" s="1480" t="str">
        <f>IFERROR(Q$1&amp;M211,"")</f>
        <v>F118</v>
      </c>
      <c r="K1225" s="1480" t="str">
        <f t="shared" si="210"/>
        <v>Customer Inputs</v>
      </c>
      <c r="L1225" s="1480"/>
      <c r="M1225" s="1480"/>
      <c r="N1225" s="1480"/>
      <c r="O1225" s="1477"/>
      <c r="P1225" s="1480" t="str">
        <f>IFERROR(VLOOKUP(Q$211,'Existing Customers'!$A:$F,1,FALSE),"")</f>
        <v/>
      </c>
      <c r="Q1225" s="1477"/>
      <c r="R1225" s="1477"/>
      <c r="S1225" s="1477"/>
      <c r="T1225" s="1477"/>
      <c r="U1225" s="1477"/>
      <c r="V1225" s="1477"/>
      <c r="W1225" s="1477"/>
      <c r="X1225" s="1477"/>
      <c r="Y1225" s="1477"/>
      <c r="Z1225" s="1477"/>
    </row>
    <row r="1226" spans="1:26" hidden="1" x14ac:dyDescent="0.25">
      <c r="A1226" s="924" t="s">
        <v>1188</v>
      </c>
      <c r="B1226" s="867" t="str">
        <f ca="1">_xlfn.IFNA(_xlfn.CONCAT(SUBSTITUTE(ADDRESS(1,MATCH(A1226,INDIRECT("'"&amp;E1226&amp;"'"&amp;"!A5:Z5"),0),4),1,""),11),"")</f>
        <v>G11</v>
      </c>
      <c r="C1226" s="867" t="str">
        <f t="shared" ca="1" si="211"/>
        <v>G</v>
      </c>
      <c r="D1226" s="1480" t="s">
        <v>1372</v>
      </c>
      <c r="E1226" s="867" t="s">
        <v>876</v>
      </c>
      <c r="F1226" s="1480"/>
      <c r="G1226" s="1480"/>
      <c r="H1226" s="1480"/>
      <c r="I1226" s="1427" t="str">
        <f t="shared" si="212"/>
        <v>Shipping Location Number</v>
      </c>
      <c r="J1226" s="1480" t="str">
        <f>IFERROR(Q$1&amp;M222,"")</f>
        <v>F139</v>
      </c>
      <c r="K1226" s="1480" t="str">
        <f t="shared" si="210"/>
        <v>Customer Inputs</v>
      </c>
      <c r="L1226" s="1480"/>
      <c r="M1226" s="1480"/>
      <c r="N1226" s="1480"/>
      <c r="O1226" s="1477"/>
      <c r="P1226" s="1480" t="str">
        <f>IFERROR(VLOOKUP(Q$222,'Existing Customers'!$A:$F,1,FALSE),"")</f>
        <v/>
      </c>
      <c r="Q1226" s="1477"/>
      <c r="R1226" s="1477"/>
      <c r="S1226" s="1477"/>
      <c r="T1226" s="1477"/>
      <c r="U1226" s="1477"/>
      <c r="V1226" s="1477"/>
      <c r="W1226" s="1477"/>
      <c r="X1226" s="1477"/>
      <c r="Y1226" s="1477"/>
      <c r="Z1226" s="1477"/>
    </row>
    <row r="1227" spans="1:26" hidden="1" x14ac:dyDescent="0.25">
      <c r="A1227" s="926" t="s">
        <v>1188</v>
      </c>
      <c r="B1227" s="867" t="str">
        <f ca="1">_xlfn.IFNA(_xlfn.CONCAT(SUBSTITUTE(ADDRESS(1,MATCH(A1227,INDIRECT("'"&amp;E1227&amp;"'"&amp;"!A5:Z5"),0),4),1,""),12),"")</f>
        <v>G12</v>
      </c>
      <c r="C1227" s="867" t="str">
        <f t="shared" ca="1" si="211"/>
        <v>G</v>
      </c>
      <c r="D1227" s="1480" t="s">
        <v>1372</v>
      </c>
      <c r="E1227" s="867" t="s">
        <v>876</v>
      </c>
      <c r="F1227" s="1480"/>
      <c r="G1227" s="1480"/>
      <c r="H1227" s="1480"/>
      <c r="I1227" s="1427" t="str">
        <f t="shared" si="212"/>
        <v>Shipping Location Number</v>
      </c>
      <c r="J1227" s="1480" t="str">
        <f>IFERROR(Q$1&amp;M233,"")</f>
        <v>F160</v>
      </c>
      <c r="K1227" s="1480" t="str">
        <f t="shared" si="210"/>
        <v>Customer Inputs</v>
      </c>
      <c r="L1227" s="1480"/>
      <c r="M1227" s="1480"/>
      <c r="N1227" s="1480"/>
      <c r="O1227" s="1477"/>
      <c r="P1227" s="1480" t="s">
        <v>1102</v>
      </c>
      <c r="Q1227" s="1477"/>
      <c r="R1227" s="1477"/>
      <c r="S1227" s="1477"/>
      <c r="T1227" s="1477"/>
      <c r="U1227" s="1477"/>
      <c r="V1227" s="1477"/>
      <c r="W1227" s="1477"/>
      <c r="X1227" s="1477"/>
      <c r="Y1227" s="1477"/>
      <c r="Z1227" s="1477"/>
    </row>
    <row r="1228" spans="1:26" hidden="1" x14ac:dyDescent="0.25">
      <c r="A1228" s="924" t="s">
        <v>1188</v>
      </c>
      <c r="B1228" s="867" t="str">
        <f ca="1">_xlfn.IFNA(_xlfn.CONCAT(SUBSTITUTE(ADDRESS(1,MATCH(A1228,INDIRECT("'"&amp;E1228&amp;"'"&amp;"!A5:Z5"),0),4),1,""),13),"")</f>
        <v>G13</v>
      </c>
      <c r="C1228" s="867" t="str">
        <f t="shared" ca="1" si="211"/>
        <v>G</v>
      </c>
      <c r="D1228" s="1480" t="s">
        <v>1372</v>
      </c>
      <c r="E1228" s="867" t="s">
        <v>876</v>
      </c>
      <c r="F1228" s="1480"/>
      <c r="G1228" s="1480"/>
      <c r="H1228" s="1480"/>
      <c r="I1228" s="1427" t="str">
        <f t="shared" si="212"/>
        <v>Shipping Location Number</v>
      </c>
      <c r="J1228" s="1480" t="str">
        <f>IFERROR(Q$1&amp;M244,"")</f>
        <v>F181</v>
      </c>
      <c r="K1228" s="1480" t="str">
        <f t="shared" si="210"/>
        <v>Customer Inputs</v>
      </c>
      <c r="L1228" s="1480"/>
      <c r="M1228" s="1480"/>
      <c r="N1228" s="1480"/>
      <c r="O1228" s="1477"/>
      <c r="P1228" s="1480" t="str">
        <f>IFERROR(VLOOKUP(Q$244,'Existing Customers'!$A:$F,1,FALSE),"")</f>
        <v/>
      </c>
      <c r="Q1228" s="1477"/>
      <c r="R1228" s="1477"/>
      <c r="S1228" s="1477"/>
      <c r="T1228" s="1477"/>
      <c r="U1228" s="1477"/>
      <c r="V1228" s="1477"/>
      <c r="W1228" s="1477"/>
      <c r="X1228" s="1477"/>
      <c r="Y1228" s="1477"/>
      <c r="Z1228" s="1477"/>
    </row>
    <row r="1229" spans="1:26" hidden="1" x14ac:dyDescent="0.25">
      <c r="A1229" s="926" t="s">
        <v>1188</v>
      </c>
      <c r="B1229" s="867" t="str">
        <f ca="1">_xlfn.IFNA(_xlfn.CONCAT(SUBSTITUTE(ADDRESS(1,MATCH(A1229,INDIRECT("'"&amp;E1229&amp;"'"&amp;"!A5:Z5"),0),4),1,""),14),"")</f>
        <v>G14</v>
      </c>
      <c r="C1229" s="867" t="str">
        <f t="shared" ca="1" si="211"/>
        <v>G</v>
      </c>
      <c r="D1229" s="1480" t="s">
        <v>1372</v>
      </c>
      <c r="E1229" s="867" t="s">
        <v>876</v>
      </c>
      <c r="F1229" s="1480"/>
      <c r="G1229" s="1480"/>
      <c r="H1229" s="1480"/>
      <c r="I1229" s="1427" t="str">
        <f t="shared" si="212"/>
        <v>Shipping Location Number</v>
      </c>
      <c r="J1229" s="1480" t="str">
        <f>IFERROR(Q$1&amp;M255,"")</f>
        <v>F202</v>
      </c>
      <c r="K1229" s="1480" t="str">
        <f t="shared" si="210"/>
        <v>Customer Inputs</v>
      </c>
      <c r="L1229" s="1480"/>
      <c r="M1229" s="1480"/>
      <c r="N1229" s="1480"/>
      <c r="O1229" s="1477"/>
      <c r="P1229" s="1480" t="str">
        <f>IFERROR(VLOOKUP(Q$255,'Existing Customers'!$A:$F,1,FALSE),"")</f>
        <v/>
      </c>
      <c r="Q1229" s="1477"/>
      <c r="R1229" s="1477"/>
      <c r="S1229" s="1477"/>
      <c r="T1229" s="1477"/>
      <c r="U1229" s="1477"/>
      <c r="V1229" s="1477"/>
      <c r="W1229" s="1477"/>
      <c r="X1229" s="1477"/>
      <c r="Y1229" s="1477"/>
      <c r="Z1229" s="1477"/>
    </row>
    <row r="1230" spans="1:26" hidden="1" x14ac:dyDescent="0.25">
      <c r="A1230" s="924" t="s">
        <v>1188</v>
      </c>
      <c r="B1230" s="867" t="str">
        <f ca="1">_xlfn.IFNA(_xlfn.CONCAT(SUBSTITUTE(ADDRESS(1,MATCH(A1230,INDIRECT("'"&amp;E1230&amp;"'"&amp;"!A5:Z5"),0),4),1,""),15),"")</f>
        <v>G15</v>
      </c>
      <c r="C1230" s="867" t="str">
        <f t="shared" ca="1" si="211"/>
        <v>G</v>
      </c>
      <c r="D1230" s="1480" t="s">
        <v>1372</v>
      </c>
      <c r="E1230" s="867" t="s">
        <v>876</v>
      </c>
      <c r="F1230" s="1480"/>
      <c r="G1230" s="1480"/>
      <c r="H1230" s="1480"/>
      <c r="I1230" s="1427" t="str">
        <f t="shared" si="212"/>
        <v>Shipping Location Number</v>
      </c>
      <c r="J1230" s="1480" t="str">
        <f>IFERROR(Q$1&amp;M266,"")</f>
        <v>F223</v>
      </c>
      <c r="K1230" s="1480" t="str">
        <f t="shared" si="210"/>
        <v>Customer Inputs</v>
      </c>
      <c r="L1230" s="1480"/>
      <c r="M1230" s="1480"/>
      <c r="N1230" s="1480"/>
      <c r="O1230" s="1477"/>
      <c r="P1230" s="1480" t="str">
        <f>IFERROR(VLOOKUP(Q$266,'Existing Customers'!$A:$F,1,FALSE),"")</f>
        <v/>
      </c>
      <c r="Q1230" s="1477"/>
      <c r="R1230" s="1477"/>
      <c r="S1230" s="1477"/>
      <c r="T1230" s="1477"/>
      <c r="U1230" s="1477"/>
      <c r="V1230" s="1477"/>
      <c r="W1230" s="1477"/>
      <c r="X1230" s="1477"/>
      <c r="Y1230" s="1477"/>
      <c r="Z1230" s="1477"/>
    </row>
    <row r="1231" spans="1:26" hidden="1" x14ac:dyDescent="0.25">
      <c r="A1231" s="927" t="s">
        <v>204</v>
      </c>
      <c r="B1231" s="867" t="str">
        <f t="shared" ref="B1231:B1240" ca="1" si="213">_xlfn.IFNA(_xlfn.CONCAT(SUBSTITUTE(ADDRESS(1,MATCH(A1231,INDIRECT("'"&amp;E1231&amp;"'"&amp;"!A5:Z5"),0),4),1,""),15),"")</f>
        <v>S15</v>
      </c>
      <c r="C1231" s="867" t="str">
        <f t="shared" ca="1" si="211"/>
        <v>S</v>
      </c>
      <c r="D1231" s="1480" t="s">
        <v>1372</v>
      </c>
      <c r="E1231" s="867" t="s">
        <v>876</v>
      </c>
      <c r="F1231" s="1480"/>
      <c r="G1231" s="1480"/>
      <c r="H1231" s="1480"/>
      <c r="I1231" s="1427" t="str">
        <f t="shared" si="212"/>
        <v>Zip Code</v>
      </c>
      <c r="J1231" s="1480" t="str">
        <f>IF(P1221="",Q$1&amp;M177,"")</f>
        <v>F54</v>
      </c>
      <c r="K1231" s="1480" t="str">
        <f t="shared" si="210"/>
        <v>Customer Inputs</v>
      </c>
      <c r="L1231" s="1480"/>
      <c r="M1231" s="1480"/>
      <c r="N1231" s="1480"/>
      <c r="O1231" s="1477"/>
      <c r="P1231" s="1477"/>
      <c r="Q1231" s="1477"/>
      <c r="R1231" s="1477"/>
      <c r="S1231" s="1477"/>
      <c r="T1231" s="1477"/>
      <c r="U1231" s="1477"/>
      <c r="V1231" s="1477"/>
      <c r="W1231" s="1477"/>
      <c r="X1231" s="1477"/>
      <c r="Y1231" s="1477"/>
      <c r="Z1231" s="1477"/>
    </row>
    <row r="1232" spans="1:26" hidden="1" x14ac:dyDescent="0.25">
      <c r="A1232" s="924" t="s">
        <v>204</v>
      </c>
      <c r="B1232" s="867" t="str">
        <f t="shared" ca="1" si="213"/>
        <v>S15</v>
      </c>
      <c r="C1232" s="867" t="str">
        <f t="shared" ca="1" si="211"/>
        <v>S</v>
      </c>
      <c r="D1232" s="1480" t="s">
        <v>1372</v>
      </c>
      <c r="E1232" s="867" t="s">
        <v>876</v>
      </c>
      <c r="F1232" s="1480"/>
      <c r="G1232" s="1480"/>
      <c r="H1232" s="1480"/>
      <c r="I1232" s="1427" t="str">
        <f t="shared" si="212"/>
        <v>Zip Code</v>
      </c>
      <c r="J1232" s="1480" t="str">
        <f>IF(P1222="",Q$1&amp;M188,"")</f>
        <v>F75</v>
      </c>
      <c r="K1232" s="1480" t="str">
        <f t="shared" si="210"/>
        <v>Customer Inputs</v>
      </c>
      <c r="L1232" s="1480"/>
      <c r="M1232" s="1480"/>
      <c r="N1232" s="1480"/>
      <c r="O1232" s="1477"/>
      <c r="P1232" s="1477"/>
      <c r="Q1232" s="1477"/>
      <c r="R1232" s="1477"/>
      <c r="S1232" s="1477"/>
      <c r="T1232" s="1477"/>
      <c r="U1232" s="1477"/>
      <c r="V1232" s="1477"/>
      <c r="W1232" s="1477"/>
      <c r="X1232" s="1477"/>
      <c r="Y1232" s="1477"/>
      <c r="Z1232" s="1477"/>
    </row>
    <row r="1233" spans="1:26" hidden="1" x14ac:dyDescent="0.25">
      <c r="A1233" s="927" t="s">
        <v>204</v>
      </c>
      <c r="B1233" s="867" t="str">
        <f t="shared" ca="1" si="213"/>
        <v>S15</v>
      </c>
      <c r="C1233" s="867" t="str">
        <f t="shared" ca="1" si="211"/>
        <v>S</v>
      </c>
      <c r="D1233" s="1480" t="s">
        <v>1372</v>
      </c>
      <c r="E1233" s="867" t="s">
        <v>876</v>
      </c>
      <c r="F1233" s="1480"/>
      <c r="G1233" s="1480"/>
      <c r="H1233" s="1480"/>
      <c r="I1233" s="1427" t="str">
        <f t="shared" si="212"/>
        <v>Zip Code</v>
      </c>
      <c r="J1233" s="1480" t="str">
        <f>IF(P1223="",Q$1&amp;M199,"")</f>
        <v>F96</v>
      </c>
      <c r="K1233" s="1480" t="str">
        <f t="shared" si="210"/>
        <v>Customer Inputs</v>
      </c>
      <c r="L1233" s="1480"/>
      <c r="M1233" s="1480"/>
      <c r="N1233" s="1480"/>
      <c r="O1233" s="1477"/>
      <c r="P1233" s="1477"/>
      <c r="Q1233" s="1477"/>
      <c r="R1233" s="1477"/>
      <c r="S1233" s="1477"/>
      <c r="T1233" s="1477"/>
      <c r="U1233" s="1477"/>
      <c r="V1233" s="1477"/>
      <c r="W1233" s="1477"/>
      <c r="X1233" s="1477"/>
      <c r="Y1233" s="1477"/>
      <c r="Z1233" s="1477"/>
    </row>
    <row r="1234" spans="1:26" hidden="1" x14ac:dyDescent="0.25">
      <c r="A1234" s="924" t="s">
        <v>204</v>
      </c>
      <c r="B1234" s="867" t="str">
        <f t="shared" ca="1" si="213"/>
        <v>S15</v>
      </c>
      <c r="C1234" s="867" t="str">
        <f t="shared" ca="1" si="211"/>
        <v>S</v>
      </c>
      <c r="D1234" s="1480" t="s">
        <v>1372</v>
      </c>
      <c r="E1234" s="867" t="s">
        <v>876</v>
      </c>
      <c r="F1234" s="1480"/>
      <c r="G1234" s="1480"/>
      <c r="H1234" s="1480"/>
      <c r="I1234" s="1427" t="str">
        <f t="shared" si="212"/>
        <v>Zip Code</v>
      </c>
      <c r="J1234" s="1480" t="str">
        <f>IF(P1224="",Q$1&amp;M210,"")</f>
        <v>F117</v>
      </c>
      <c r="K1234" s="1480" t="str">
        <f t="shared" si="210"/>
        <v>Customer Inputs</v>
      </c>
      <c r="L1234" s="1480"/>
      <c r="M1234" s="1480"/>
      <c r="N1234" s="1480"/>
      <c r="O1234" s="1477"/>
      <c r="P1234" s="1477"/>
      <c r="Q1234" s="1477"/>
      <c r="R1234" s="1477"/>
      <c r="S1234" s="1477"/>
      <c r="T1234" s="1477"/>
      <c r="U1234" s="1477"/>
      <c r="V1234" s="1477"/>
      <c r="W1234" s="1477"/>
      <c r="X1234" s="1477"/>
      <c r="Y1234" s="1477"/>
      <c r="Z1234" s="1477"/>
    </row>
    <row r="1235" spans="1:26" hidden="1" x14ac:dyDescent="0.25">
      <c r="A1235" s="927" t="s">
        <v>204</v>
      </c>
      <c r="B1235" s="867" t="str">
        <f t="shared" ca="1" si="213"/>
        <v>S15</v>
      </c>
      <c r="C1235" s="867" t="str">
        <f t="shared" ca="1" si="211"/>
        <v>S</v>
      </c>
      <c r="D1235" s="1480" t="s">
        <v>1372</v>
      </c>
      <c r="E1235" s="867" t="s">
        <v>876</v>
      </c>
      <c r="F1235" s="1480"/>
      <c r="G1235" s="1480"/>
      <c r="H1235" s="1480"/>
      <c r="I1235" s="1427" t="str">
        <f t="shared" si="212"/>
        <v>Zip Code</v>
      </c>
      <c r="J1235" s="1480" t="str">
        <f>IF(P1225="",Q$1&amp;M221,"")</f>
        <v>F138</v>
      </c>
      <c r="K1235" s="1480" t="str">
        <f t="shared" si="210"/>
        <v>Customer Inputs</v>
      </c>
      <c r="L1235" s="1480"/>
      <c r="M1235" s="1480"/>
      <c r="N1235" s="1480"/>
      <c r="O1235" s="1477"/>
      <c r="P1235" s="1477"/>
      <c r="Q1235" s="1477"/>
      <c r="R1235" s="1477"/>
      <c r="S1235" s="1477"/>
      <c r="T1235" s="1477"/>
      <c r="U1235" s="1477"/>
      <c r="V1235" s="1477"/>
      <c r="W1235" s="1477"/>
      <c r="X1235" s="1477"/>
      <c r="Y1235" s="1477"/>
      <c r="Z1235" s="1477"/>
    </row>
    <row r="1236" spans="1:26" hidden="1" x14ac:dyDescent="0.25">
      <c r="A1236" s="924" t="s">
        <v>204</v>
      </c>
      <c r="B1236" s="867" t="str">
        <f t="shared" ca="1" si="213"/>
        <v>S15</v>
      </c>
      <c r="C1236" s="867" t="str">
        <f t="shared" ca="1" si="211"/>
        <v>S</v>
      </c>
      <c r="D1236" s="1480" t="s">
        <v>1372</v>
      </c>
      <c r="E1236" s="867" t="s">
        <v>876</v>
      </c>
      <c r="F1236" s="1480"/>
      <c r="G1236" s="1480"/>
      <c r="H1236" s="1480"/>
      <c r="I1236" s="1427" t="str">
        <f t="shared" si="212"/>
        <v>Zip Code</v>
      </c>
      <c r="J1236" s="1480" t="str">
        <f>IF(P1226="",Q$1&amp;M232,"")</f>
        <v>F159</v>
      </c>
      <c r="K1236" s="1480" t="str">
        <f t="shared" si="210"/>
        <v>Customer Inputs</v>
      </c>
      <c r="L1236" s="1480"/>
      <c r="M1236" s="1480"/>
      <c r="N1236" s="1480"/>
      <c r="O1236" s="1477"/>
      <c r="P1236" s="1477"/>
      <c r="Q1236" s="1477"/>
      <c r="R1236" s="1477"/>
      <c r="S1236" s="1477"/>
      <c r="T1236" s="1477"/>
      <c r="U1236" s="1477"/>
      <c r="V1236" s="1477"/>
      <c r="W1236" s="1477"/>
      <c r="X1236" s="1477"/>
      <c r="Y1236" s="1477"/>
      <c r="Z1236" s="1477"/>
    </row>
    <row r="1237" spans="1:26" hidden="1" x14ac:dyDescent="0.25">
      <c r="A1237" s="927" t="s">
        <v>204</v>
      </c>
      <c r="B1237" s="867" t="str">
        <f t="shared" ca="1" si="213"/>
        <v>S15</v>
      </c>
      <c r="C1237" s="867" t="str">
        <f t="shared" ca="1" si="211"/>
        <v>S</v>
      </c>
      <c r="D1237" s="1480" t="s">
        <v>1372</v>
      </c>
      <c r="E1237" s="867" t="s">
        <v>876</v>
      </c>
      <c r="F1237" s="1480"/>
      <c r="G1237" s="1480"/>
      <c r="H1237" s="1480"/>
      <c r="I1237" s="1427" t="str">
        <f t="shared" si="212"/>
        <v>Zip Code</v>
      </c>
      <c r="J1237" s="1480" t="str">
        <f>IF(P1227="",Q$1&amp;M243,"")</f>
        <v>F180</v>
      </c>
      <c r="K1237" s="1480" t="str">
        <f t="shared" si="210"/>
        <v>Customer Inputs</v>
      </c>
      <c r="L1237" s="1480"/>
      <c r="M1237" s="1480"/>
      <c r="N1237" s="1480"/>
      <c r="O1237" s="1477"/>
      <c r="P1237" s="1477"/>
      <c r="Q1237" s="1477"/>
      <c r="R1237" s="1477"/>
      <c r="S1237" s="1477"/>
      <c r="T1237" s="1477"/>
      <c r="U1237" s="1477"/>
      <c r="V1237" s="1477"/>
      <c r="W1237" s="1477"/>
      <c r="X1237" s="1477"/>
      <c r="Y1237" s="1477"/>
      <c r="Z1237" s="1477"/>
    </row>
    <row r="1238" spans="1:26" hidden="1" x14ac:dyDescent="0.25">
      <c r="A1238" s="924" t="s">
        <v>204</v>
      </c>
      <c r="B1238" s="867" t="str">
        <f t="shared" ca="1" si="213"/>
        <v>S15</v>
      </c>
      <c r="C1238" s="867" t="str">
        <f t="shared" ca="1" si="211"/>
        <v>S</v>
      </c>
      <c r="D1238" s="1480" t="s">
        <v>1372</v>
      </c>
      <c r="E1238" s="867" t="s">
        <v>876</v>
      </c>
      <c r="F1238" s="1480"/>
      <c r="G1238" s="1480"/>
      <c r="H1238" s="1480"/>
      <c r="I1238" s="1427" t="str">
        <f t="shared" si="212"/>
        <v>Zip Code</v>
      </c>
      <c r="J1238" s="1480" t="str">
        <f>IF(P1228="",Q$1&amp;M254,"")</f>
        <v>F201</v>
      </c>
      <c r="K1238" s="1480" t="str">
        <f t="shared" si="210"/>
        <v>Customer Inputs</v>
      </c>
      <c r="L1238" s="1480"/>
      <c r="M1238" s="1480"/>
      <c r="N1238" s="1480"/>
      <c r="O1238" s="1477"/>
      <c r="P1238" s="1477"/>
      <c r="Q1238" s="1477"/>
      <c r="R1238" s="1477"/>
      <c r="S1238" s="1477"/>
      <c r="T1238" s="1477"/>
      <c r="U1238" s="1477"/>
      <c r="V1238" s="1477"/>
      <c r="W1238" s="1477"/>
      <c r="X1238" s="1477"/>
      <c r="Y1238" s="1477"/>
      <c r="Z1238" s="1477"/>
    </row>
    <row r="1239" spans="1:26" hidden="1" x14ac:dyDescent="0.25">
      <c r="A1239" s="927" t="s">
        <v>204</v>
      </c>
      <c r="B1239" s="867" t="str">
        <f t="shared" ca="1" si="213"/>
        <v>S15</v>
      </c>
      <c r="C1239" s="867" t="str">
        <f t="shared" ca="1" si="211"/>
        <v>S</v>
      </c>
      <c r="D1239" s="1480" t="s">
        <v>1372</v>
      </c>
      <c r="E1239" s="867" t="s">
        <v>876</v>
      </c>
      <c r="F1239" s="1480"/>
      <c r="G1239" s="1480"/>
      <c r="H1239" s="1480"/>
      <c r="I1239" s="1427" t="str">
        <f t="shared" si="212"/>
        <v>Zip Code</v>
      </c>
      <c r="J1239" s="1480" t="str">
        <f>IF(P1229="",Q$1&amp;M265,"")</f>
        <v>F222</v>
      </c>
      <c r="K1239" s="1480" t="str">
        <f t="shared" si="210"/>
        <v>Customer Inputs</v>
      </c>
      <c r="L1239" s="1480"/>
      <c r="M1239" s="1480"/>
      <c r="N1239" s="1480"/>
      <c r="O1239" s="1477"/>
      <c r="P1239" s="1477"/>
      <c r="Q1239" s="1477"/>
      <c r="R1239" s="1477"/>
      <c r="S1239" s="1477"/>
      <c r="T1239" s="1477"/>
      <c r="U1239" s="1477"/>
      <c r="V1239" s="1477"/>
      <c r="W1239" s="1477"/>
      <c r="X1239" s="1477"/>
      <c r="Y1239" s="1477"/>
      <c r="Z1239" s="1477"/>
    </row>
    <row r="1240" spans="1:26" hidden="1" x14ac:dyDescent="0.25">
      <c r="A1240" s="924" t="s">
        <v>204</v>
      </c>
      <c r="B1240" s="867" t="str">
        <f t="shared" ca="1" si="213"/>
        <v>S15</v>
      </c>
      <c r="C1240" s="867" t="str">
        <f t="shared" ca="1" si="211"/>
        <v>S</v>
      </c>
      <c r="D1240" s="1480" t="s">
        <v>1372</v>
      </c>
      <c r="E1240" s="867" t="s">
        <v>876</v>
      </c>
      <c r="F1240" s="1480"/>
      <c r="G1240" s="1480"/>
      <c r="H1240" s="1480"/>
      <c r="I1240" s="1427" t="str">
        <f t="shared" si="212"/>
        <v>Zip Code</v>
      </c>
      <c r="J1240" s="1480" t="str">
        <f>IF(P1230="",Q$1&amp;M276,"")</f>
        <v>F243</v>
      </c>
      <c r="K1240" s="1480" t="str">
        <f t="shared" si="210"/>
        <v>Customer Inputs</v>
      </c>
      <c r="L1240" s="1480"/>
      <c r="M1240" s="1480"/>
      <c r="N1240" s="1480"/>
      <c r="O1240" s="1477"/>
      <c r="P1240" s="1477"/>
      <c r="Q1240" s="1477"/>
      <c r="R1240" s="1477"/>
      <c r="S1240" s="1477"/>
      <c r="T1240" s="1477"/>
      <c r="U1240" s="1477"/>
      <c r="V1240" s="1477"/>
      <c r="W1240" s="1477"/>
      <c r="X1240" s="1477"/>
      <c r="Y1240" s="1477"/>
      <c r="Z1240" s="1477"/>
    </row>
    <row r="1241" spans="1:26" hidden="1" x14ac:dyDescent="0.25">
      <c r="A1241" s="929" t="s">
        <v>1256</v>
      </c>
      <c r="B1241" s="1427" t="str">
        <f ca="1">_xlfn.CONCAT(IFERROR(SUBSTITUTE(ADDRESS(1,MATCH(A1241,INDIRECT("'"&amp;E1241&amp;"'"&amp;"!A9:Z9"),0),4),1,""),""),10)</f>
        <v>D10</v>
      </c>
      <c r="C1241" s="1427" t="str">
        <f ca="1">_xlfn.CONCAT(IFERROR(SUBSTITUTE(ADDRESS(1,MATCH(A1241,INDIRECT("'"&amp;E1241&amp;"'"&amp;"!A9:Z9"),0),4),1,""),""))</f>
        <v>D</v>
      </c>
      <c r="D1241" s="1480" t="s">
        <v>1372</v>
      </c>
      <c r="E1241" s="867" t="s">
        <v>208</v>
      </c>
      <c r="F1241" s="1480"/>
      <c r="G1241" s="1480"/>
      <c r="H1241" s="1480"/>
      <c r="I1241" s="1427" t="str">
        <f t="shared" si="212"/>
        <v>Per</v>
      </c>
      <c r="J1241" s="1480" t="str">
        <f>IFERROR(Q$1&amp;M280,"")</f>
        <v>F249</v>
      </c>
      <c r="K1241" s="1480" t="str">
        <f t="shared" si="210"/>
        <v>PIM Model</v>
      </c>
      <c r="L1241" s="1480"/>
      <c r="M1241" s="1480"/>
      <c r="N1241" s="1480"/>
      <c r="O1241" s="1477"/>
      <c r="P1241" s="1477"/>
      <c r="Q1241" s="1477"/>
      <c r="R1241" s="1477"/>
      <c r="S1241" s="1477"/>
      <c r="T1241" s="1477"/>
      <c r="U1241" s="1477"/>
      <c r="V1241" s="1477"/>
      <c r="W1241" s="1477"/>
      <c r="X1241" s="1477"/>
      <c r="Y1241" s="1477"/>
      <c r="Z1241" s="1477"/>
    </row>
    <row r="1242" spans="1:26" hidden="1" x14ac:dyDescent="0.25">
      <c r="A1242" s="932" t="s">
        <v>1256</v>
      </c>
      <c r="B1242" s="1427" t="str">
        <f ca="1">_xlfn.CONCAT(IFERROR(SUBSTITUTE(ADDRESS(1,MATCH(A1242,INDIRECT("'"&amp;E1242&amp;"'"&amp;"!A9:Z9"),0),4),1,""),""),11)</f>
        <v>D11</v>
      </c>
      <c r="C1242" s="1427" t="str">
        <f t="shared" ref="C1242:C1261" ca="1" si="214">_xlfn.CONCAT(IFERROR(SUBSTITUTE(ADDRESS(1,MATCH(A1242,INDIRECT("'"&amp;E1242&amp;"'"&amp;"!A9:Z9"),0),4),1,""),""))</f>
        <v>D</v>
      </c>
      <c r="D1242" s="1480" t="s">
        <v>1372</v>
      </c>
      <c r="E1242" s="867" t="s">
        <v>208</v>
      </c>
      <c r="F1242" s="1480"/>
      <c r="G1242" s="1480"/>
      <c r="H1242" s="1480"/>
      <c r="I1242" s="1427" t="str">
        <f t="shared" si="212"/>
        <v>Per</v>
      </c>
      <c r="J1242" s="1480" t="str">
        <f>IFERROR(Q$1&amp;M292,"")</f>
        <v>F261</v>
      </c>
      <c r="K1242" s="1480" t="str">
        <f t="shared" si="210"/>
        <v>PIM Model</v>
      </c>
      <c r="L1242" s="1480"/>
      <c r="M1242" s="1480"/>
      <c r="N1242" s="1480"/>
      <c r="O1242" s="1477"/>
      <c r="P1242" s="1477"/>
      <c r="Q1242" s="1477"/>
      <c r="R1242" s="1477"/>
      <c r="S1242" s="1477"/>
      <c r="T1242" s="1477"/>
      <c r="U1242" s="1477"/>
      <c r="V1242" s="1477"/>
      <c r="W1242" s="1477"/>
      <c r="X1242" s="1477"/>
      <c r="Y1242" s="1477"/>
      <c r="Z1242" s="1477"/>
    </row>
    <row r="1243" spans="1:26" hidden="1" x14ac:dyDescent="0.25">
      <c r="A1243" s="929" t="s">
        <v>1256</v>
      </c>
      <c r="B1243" s="1427" t="str">
        <f ca="1">_xlfn.CONCAT(IFERROR(SUBSTITUTE(ADDRESS(1,MATCH(A1243,INDIRECT("'"&amp;E1243&amp;"'"&amp;"!A9:Z9"),0),4),1,""),""),12)</f>
        <v>D12</v>
      </c>
      <c r="C1243" s="1427" t="str">
        <f t="shared" ca="1" si="214"/>
        <v>D</v>
      </c>
      <c r="D1243" s="1480" t="s">
        <v>1372</v>
      </c>
      <c r="E1243" s="867" t="s">
        <v>208</v>
      </c>
      <c r="F1243" s="1480"/>
      <c r="G1243" s="1480"/>
      <c r="H1243" s="1480"/>
      <c r="I1243" s="1427" t="str">
        <f t="shared" si="212"/>
        <v>Per</v>
      </c>
      <c r="J1243" s="1480" t="str">
        <f>IFERROR(Q$1&amp;M304,"")</f>
        <v>F273</v>
      </c>
      <c r="K1243" s="1480" t="str">
        <f t="shared" si="210"/>
        <v>PIM Model</v>
      </c>
      <c r="L1243" s="1480"/>
      <c r="M1243" s="1480"/>
      <c r="N1243" s="1480"/>
      <c r="O1243" s="1477"/>
      <c r="P1243" s="1477"/>
      <c r="Q1243" s="1477"/>
      <c r="R1243" s="1477"/>
      <c r="S1243" s="1477"/>
      <c r="T1243" s="1477"/>
      <c r="U1243" s="1477"/>
      <c r="V1243" s="1477"/>
      <c r="W1243" s="1477"/>
      <c r="X1243" s="1477"/>
      <c r="Y1243" s="1477"/>
      <c r="Z1243" s="1477"/>
    </row>
    <row r="1244" spans="1:26" hidden="1" x14ac:dyDescent="0.25">
      <c r="A1244" s="932" t="s">
        <v>1256</v>
      </c>
      <c r="B1244" s="1427" t="str">
        <f ca="1">_xlfn.CONCAT(IFERROR(SUBSTITUTE(ADDRESS(1,MATCH(A1244,INDIRECT("'"&amp;E1244&amp;"'"&amp;"!A9:Z9"),0),4),1,""),""),13)</f>
        <v>D13</v>
      </c>
      <c r="C1244" s="1427" t="str">
        <f t="shared" ca="1" si="214"/>
        <v>D</v>
      </c>
      <c r="D1244" s="1480" t="s">
        <v>1372</v>
      </c>
      <c r="E1244" s="867" t="s">
        <v>208</v>
      </c>
      <c r="F1244" s="1480"/>
      <c r="G1244" s="1480"/>
      <c r="H1244" s="1480"/>
      <c r="I1244" s="1427" t="str">
        <f t="shared" si="212"/>
        <v>Per</v>
      </c>
      <c r="J1244" s="1480" t="str">
        <f>IFERROR(Q$1&amp;M316,"")</f>
        <v>F285</v>
      </c>
      <c r="K1244" s="1480" t="str">
        <f t="shared" si="210"/>
        <v>PIM Model</v>
      </c>
      <c r="L1244" s="1480"/>
      <c r="M1244" s="1480"/>
      <c r="N1244" s="1480"/>
      <c r="O1244" s="1477"/>
      <c r="P1244" s="1477"/>
      <c r="Q1244" s="1477"/>
      <c r="R1244" s="1477"/>
      <c r="S1244" s="1477"/>
      <c r="T1244" s="1477"/>
      <c r="U1244" s="1477"/>
      <c r="V1244" s="1477"/>
      <c r="W1244" s="1477"/>
      <c r="X1244" s="1477"/>
      <c r="Y1244" s="1477"/>
      <c r="Z1244" s="1477"/>
    </row>
    <row r="1245" spans="1:26" hidden="1" x14ac:dyDescent="0.25">
      <c r="A1245" s="929" t="s">
        <v>1256</v>
      </c>
      <c r="B1245" s="1427" t="str">
        <f ca="1">_xlfn.CONCAT(IFERROR(SUBSTITUTE(ADDRESS(1,MATCH(A1245,INDIRECT("'"&amp;E1245&amp;"'"&amp;"!A9:Z9"),0),4),1,""),""),14)</f>
        <v>D14</v>
      </c>
      <c r="C1245" s="1427" t="str">
        <f t="shared" ca="1" si="214"/>
        <v>D</v>
      </c>
      <c r="D1245" s="1480" t="s">
        <v>1372</v>
      </c>
      <c r="E1245" s="867" t="s">
        <v>208</v>
      </c>
      <c r="F1245" s="1480"/>
      <c r="G1245" s="1480"/>
      <c r="H1245" s="1480"/>
      <c r="I1245" s="1427" t="str">
        <f t="shared" si="212"/>
        <v>Per</v>
      </c>
      <c r="J1245" s="1480" t="str">
        <f>IFERROR(Q$1&amp;M328,"")</f>
        <v>F297</v>
      </c>
      <c r="K1245" s="1480" t="str">
        <f t="shared" si="210"/>
        <v>PIM Model</v>
      </c>
      <c r="L1245" s="1480"/>
      <c r="M1245" s="1480"/>
      <c r="N1245" s="1480"/>
      <c r="O1245" s="1477"/>
      <c r="P1245" s="1477"/>
      <c r="Q1245" s="1477"/>
      <c r="R1245" s="1477"/>
      <c r="S1245" s="1477"/>
      <c r="T1245" s="1477"/>
      <c r="U1245" s="1477"/>
      <c r="V1245" s="1477"/>
      <c r="W1245" s="1477"/>
      <c r="X1245" s="1477"/>
      <c r="Y1245" s="1477"/>
      <c r="Z1245" s="1477"/>
    </row>
    <row r="1246" spans="1:26" hidden="1" x14ac:dyDescent="0.25">
      <c r="A1246" s="932" t="s">
        <v>1256</v>
      </c>
      <c r="B1246" s="1427" t="str">
        <f ca="1">_xlfn.CONCAT(IFERROR(SUBSTITUTE(ADDRESS(1,MATCH(A1246,INDIRECT("'"&amp;E1246&amp;"'"&amp;"!A9:Z9"),0),4),1,""),""),15)</f>
        <v>D15</v>
      </c>
      <c r="C1246" s="1427" t="str">
        <f t="shared" ca="1" si="214"/>
        <v>D</v>
      </c>
      <c r="D1246" s="1480" t="s">
        <v>1372</v>
      </c>
      <c r="E1246" s="867" t="s">
        <v>208</v>
      </c>
      <c r="F1246" s="1480"/>
      <c r="G1246" s="1480"/>
      <c r="H1246" s="1480"/>
      <c r="I1246" s="1427" t="str">
        <f t="shared" si="212"/>
        <v>Per</v>
      </c>
      <c r="J1246" s="1480" t="str">
        <f>IFERROR(Q$1&amp;M340,"")</f>
        <v>F309</v>
      </c>
      <c r="K1246" s="1480" t="str">
        <f t="shared" si="210"/>
        <v>PIM Model</v>
      </c>
      <c r="L1246" s="1480"/>
      <c r="M1246" s="1480"/>
      <c r="N1246" s="1480"/>
      <c r="O1246" s="1477"/>
      <c r="P1246" s="1477"/>
      <c r="Q1246" s="1477"/>
      <c r="R1246" s="1477"/>
      <c r="S1246" s="1477"/>
      <c r="T1246" s="1477"/>
      <c r="U1246" s="1477"/>
      <c r="V1246" s="1477"/>
      <c r="W1246" s="1477"/>
      <c r="X1246" s="1477"/>
      <c r="Y1246" s="1477"/>
      <c r="Z1246" s="1477"/>
    </row>
    <row r="1247" spans="1:26" hidden="1" x14ac:dyDescent="0.25">
      <c r="A1247" s="929" t="s">
        <v>1256</v>
      </c>
      <c r="B1247" s="1427" t="str">
        <f ca="1">_xlfn.CONCAT(IFERROR(SUBSTITUTE(ADDRESS(1,MATCH(A1247,INDIRECT("'"&amp;E1247&amp;"'"&amp;"!A9:Z9"),0),4),1,""),""),16)</f>
        <v>D16</v>
      </c>
      <c r="C1247" s="1427" t="str">
        <f t="shared" ca="1" si="214"/>
        <v>D</v>
      </c>
      <c r="D1247" s="1480" t="s">
        <v>1372</v>
      </c>
      <c r="E1247" s="867" t="s">
        <v>208</v>
      </c>
      <c r="F1247" s="1480"/>
      <c r="G1247" s="1480"/>
      <c r="H1247" s="1480"/>
      <c r="I1247" s="1427" t="str">
        <f t="shared" si="212"/>
        <v>Per</v>
      </c>
      <c r="J1247" s="1480" t="str">
        <f>IFERROR(Q$1&amp;M352,"")</f>
        <v>F321</v>
      </c>
      <c r="K1247" s="1480" t="str">
        <f t="shared" si="210"/>
        <v>PIM Model</v>
      </c>
      <c r="L1247" s="1480"/>
      <c r="M1247" s="1480"/>
      <c r="N1247" s="1480"/>
      <c r="O1247" s="1477"/>
      <c r="P1247" s="1477"/>
      <c r="Q1247" s="1477"/>
      <c r="R1247" s="1477"/>
      <c r="S1247" s="1477"/>
      <c r="T1247" s="1477"/>
      <c r="U1247" s="1477"/>
      <c r="V1247" s="1477"/>
      <c r="W1247" s="1477"/>
      <c r="X1247" s="1477"/>
      <c r="Y1247" s="1477"/>
      <c r="Z1247" s="1477"/>
    </row>
    <row r="1248" spans="1:26" hidden="1" x14ac:dyDescent="0.25">
      <c r="A1248" s="932" t="s">
        <v>1256</v>
      </c>
      <c r="B1248" s="1427" t="str">
        <f ca="1">_xlfn.CONCAT(IFERROR(SUBSTITUTE(ADDRESS(1,MATCH(A1248,INDIRECT("'"&amp;E1248&amp;"'"&amp;"!A9:Z9"),0),4),1,""),""),17)</f>
        <v>D17</v>
      </c>
      <c r="C1248" s="1427" t="str">
        <f t="shared" ca="1" si="214"/>
        <v>D</v>
      </c>
      <c r="D1248" s="1480" t="s">
        <v>1372</v>
      </c>
      <c r="E1248" s="867" t="s">
        <v>208</v>
      </c>
      <c r="F1248" s="1480"/>
      <c r="G1248" s="1480"/>
      <c r="H1248" s="1480"/>
      <c r="I1248" s="1427" t="str">
        <f t="shared" si="212"/>
        <v>Per</v>
      </c>
      <c r="J1248" s="1480" t="str">
        <f>IFERROR(Q$1&amp;M364,"")</f>
        <v>F333</v>
      </c>
      <c r="K1248" s="1480" t="str">
        <f t="shared" si="210"/>
        <v>PIM Model</v>
      </c>
      <c r="L1248" s="1480"/>
      <c r="M1248" s="1480"/>
      <c r="N1248" s="1480"/>
      <c r="O1248" s="1477"/>
      <c r="P1248" s="1477"/>
      <c r="Q1248" s="1477"/>
      <c r="R1248" s="1477"/>
      <c r="S1248" s="1477"/>
      <c r="T1248" s="1477"/>
      <c r="U1248" s="1477"/>
      <c r="V1248" s="1477"/>
      <c r="W1248" s="1477"/>
      <c r="X1248" s="1477"/>
      <c r="Y1248" s="1477"/>
      <c r="Z1248" s="1477"/>
    </row>
    <row r="1249" spans="1:26" hidden="1" x14ac:dyDescent="0.25">
      <c r="A1249" s="929" t="s">
        <v>1256</v>
      </c>
      <c r="B1249" s="1427" t="str">
        <f ca="1">_xlfn.CONCAT(IFERROR(SUBSTITUTE(ADDRESS(1,MATCH(A1249,INDIRECT("'"&amp;E1249&amp;"'"&amp;"!A9:Z9"),0),4),1,""),""),18)</f>
        <v>D18</v>
      </c>
      <c r="C1249" s="1427" t="str">
        <f t="shared" ca="1" si="214"/>
        <v>D</v>
      </c>
      <c r="D1249" s="1480" t="s">
        <v>1372</v>
      </c>
      <c r="E1249" s="867" t="s">
        <v>208</v>
      </c>
      <c r="F1249" s="1480"/>
      <c r="G1249" s="1480"/>
      <c r="H1249" s="1480"/>
      <c r="I1249" s="1427" t="str">
        <f t="shared" si="212"/>
        <v>Per</v>
      </c>
      <c r="J1249" s="1480" t="str">
        <f>IFERROR(Q$1&amp;M376,"")</f>
        <v>F345</v>
      </c>
      <c r="K1249" s="1480" t="str">
        <f t="shared" si="210"/>
        <v>PIM Model</v>
      </c>
      <c r="L1249" s="1480"/>
      <c r="M1249" s="1480"/>
      <c r="N1249" s="1480"/>
      <c r="O1249" s="1477"/>
      <c r="P1249" s="1477"/>
      <c r="Q1249" s="1477"/>
      <c r="R1249" s="1477"/>
      <c r="S1249" s="1477"/>
      <c r="T1249" s="1477"/>
      <c r="U1249" s="1477"/>
      <c r="V1249" s="1477"/>
      <c r="W1249" s="1477"/>
      <c r="X1249" s="1477"/>
      <c r="Y1249" s="1477"/>
      <c r="Z1249" s="1477"/>
    </row>
    <row r="1250" spans="1:26" hidden="1" x14ac:dyDescent="0.25">
      <c r="A1250" s="932" t="s">
        <v>1256</v>
      </c>
      <c r="B1250" s="1427" t="str">
        <f ca="1">_xlfn.CONCAT(IFERROR(SUBSTITUTE(ADDRESS(1,MATCH(A1250,INDIRECT("'"&amp;E1250&amp;"'"&amp;"!A9:Z9"),0),4),1,""),""),19)</f>
        <v>D19</v>
      </c>
      <c r="C1250" s="1427" t="str">
        <f t="shared" ca="1" si="214"/>
        <v>D</v>
      </c>
      <c r="D1250" s="1480" t="s">
        <v>1372</v>
      </c>
      <c r="E1250" s="867" t="s">
        <v>208</v>
      </c>
      <c r="F1250" s="1480"/>
      <c r="G1250" s="1480"/>
      <c r="H1250" s="1480"/>
      <c r="I1250" s="1427" t="str">
        <f t="shared" si="212"/>
        <v>Per</v>
      </c>
      <c r="J1250" s="1480" t="str">
        <f>IFERROR(Q$1&amp;M388,"")</f>
        <v>F357</v>
      </c>
      <c r="K1250" s="1480" t="str">
        <f t="shared" si="210"/>
        <v>PIM Model</v>
      </c>
      <c r="L1250" s="1480"/>
      <c r="M1250" s="1480"/>
      <c r="N1250" s="1480"/>
      <c r="O1250" s="1477"/>
      <c r="P1250" s="1477"/>
      <c r="Q1250" s="1477"/>
      <c r="R1250" s="1477"/>
      <c r="S1250" s="1477"/>
      <c r="T1250" s="1477"/>
      <c r="U1250" s="1477"/>
      <c r="V1250" s="1477"/>
      <c r="W1250" s="1477"/>
      <c r="X1250" s="1477"/>
      <c r="Y1250" s="1477"/>
      <c r="Z1250" s="1477"/>
    </row>
    <row r="1251" spans="1:26" hidden="1" x14ac:dyDescent="0.25">
      <c r="A1251" s="929" t="s">
        <v>1256</v>
      </c>
      <c r="B1251" s="1427" t="str">
        <f ca="1">_xlfn.CONCAT(IFERROR(SUBSTITUTE(ADDRESS(1,MATCH(A1251,INDIRECT("'"&amp;E1251&amp;"'"&amp;"!A9:Z9"),0),4),1,""),""),20)</f>
        <v>D20</v>
      </c>
      <c r="C1251" s="1427" t="str">
        <f t="shared" ca="1" si="214"/>
        <v>D</v>
      </c>
      <c r="D1251" s="1480" t="s">
        <v>1372</v>
      </c>
      <c r="E1251" s="867" t="s">
        <v>208</v>
      </c>
      <c r="F1251" s="1480"/>
      <c r="G1251" s="1480"/>
      <c r="H1251" s="1480"/>
      <c r="I1251" s="1427" t="str">
        <f t="shared" si="212"/>
        <v>Per</v>
      </c>
      <c r="J1251" s="1480" t="str">
        <f>IFERROR(Q$1&amp;M400,"")</f>
        <v>F369</v>
      </c>
      <c r="K1251" s="1480" t="str">
        <f t="shared" si="210"/>
        <v>PIM Model</v>
      </c>
      <c r="L1251" s="1480"/>
      <c r="M1251" s="1480"/>
      <c r="N1251" s="1480"/>
      <c r="O1251" s="1477"/>
      <c r="P1251" s="1477"/>
      <c r="Q1251" s="1477"/>
      <c r="R1251" s="1477"/>
      <c r="S1251" s="1477"/>
      <c r="T1251" s="1477"/>
      <c r="U1251" s="1477"/>
      <c r="V1251" s="1477"/>
      <c r="W1251" s="1477"/>
      <c r="X1251" s="1477"/>
      <c r="Y1251" s="1477"/>
      <c r="Z1251" s="1477"/>
    </row>
    <row r="1252" spans="1:26" hidden="1" x14ac:dyDescent="0.25">
      <c r="A1252" s="932" t="s">
        <v>1256</v>
      </c>
      <c r="B1252" s="1427" t="str">
        <f ca="1">_xlfn.CONCAT(IFERROR(SUBSTITUTE(ADDRESS(1,MATCH(A1252,INDIRECT("'"&amp;E1252&amp;"'"&amp;"!A9:Z9"),0),4),1,""),""),21)</f>
        <v>D21</v>
      </c>
      <c r="C1252" s="1427" t="str">
        <f t="shared" ca="1" si="214"/>
        <v>D</v>
      </c>
      <c r="D1252" s="1480" t="s">
        <v>1372</v>
      </c>
      <c r="E1252" s="867" t="s">
        <v>208</v>
      </c>
      <c r="F1252" s="1480"/>
      <c r="G1252" s="1480"/>
      <c r="H1252" s="1480"/>
      <c r="I1252" s="1427" t="str">
        <f t="shared" si="212"/>
        <v>Per</v>
      </c>
      <c r="J1252" s="1480" t="str">
        <f>IFERROR(Q$1&amp;M412,"")</f>
        <v>F381</v>
      </c>
      <c r="K1252" s="1480" t="str">
        <f t="shared" si="210"/>
        <v>PIM Model</v>
      </c>
      <c r="L1252" s="1480"/>
      <c r="M1252" s="1480"/>
      <c r="N1252" s="1480"/>
      <c r="O1252" s="1477"/>
      <c r="P1252" s="1477"/>
      <c r="Q1252" s="1477"/>
      <c r="R1252" s="1477"/>
      <c r="S1252" s="1477"/>
      <c r="T1252" s="1477"/>
      <c r="U1252" s="1477"/>
      <c r="V1252" s="1477"/>
      <c r="W1252" s="1477"/>
      <c r="X1252" s="1477"/>
      <c r="Y1252" s="1477"/>
      <c r="Z1252" s="1477"/>
    </row>
    <row r="1253" spans="1:26" hidden="1" x14ac:dyDescent="0.25">
      <c r="A1253" s="929" t="s">
        <v>1256</v>
      </c>
      <c r="B1253" s="1427" t="str">
        <f ca="1">_xlfn.CONCAT(IFERROR(SUBSTITUTE(ADDRESS(1,MATCH(A1253,INDIRECT("'"&amp;E1253&amp;"'"&amp;"!A9:Z9"),0),4),1,""),""),22)</f>
        <v>D22</v>
      </c>
      <c r="C1253" s="1427" t="str">
        <f t="shared" ca="1" si="214"/>
        <v>D</v>
      </c>
      <c r="D1253" s="1480" t="s">
        <v>1372</v>
      </c>
      <c r="E1253" s="867" t="s">
        <v>208</v>
      </c>
      <c r="F1253" s="1480"/>
      <c r="G1253" s="1480"/>
      <c r="H1253" s="1480"/>
      <c r="I1253" s="1427" t="str">
        <f t="shared" si="212"/>
        <v>Per</v>
      </c>
      <c r="J1253" s="1480" t="str">
        <f>IFERROR(Q$1&amp;M424,"")</f>
        <v>F393</v>
      </c>
      <c r="K1253" s="1480" t="str">
        <f t="shared" si="210"/>
        <v>PIM Model</v>
      </c>
      <c r="L1253" s="1480"/>
      <c r="M1253" s="1480"/>
      <c r="N1253" s="1480"/>
      <c r="O1253" s="1477"/>
      <c r="P1253" s="1477"/>
      <c r="Q1253" s="1477"/>
      <c r="R1253" s="1477"/>
      <c r="S1253" s="1477"/>
      <c r="T1253" s="1477"/>
      <c r="U1253" s="1477"/>
      <c r="V1253" s="1477"/>
      <c r="W1253" s="1477"/>
      <c r="X1253" s="1477"/>
      <c r="Y1253" s="1477"/>
      <c r="Z1253" s="1477"/>
    </row>
    <row r="1254" spans="1:26" hidden="1" x14ac:dyDescent="0.25">
      <c r="A1254" s="932" t="s">
        <v>1256</v>
      </c>
      <c r="B1254" s="1427" t="str">
        <f ca="1">_xlfn.CONCAT(IFERROR(SUBSTITUTE(ADDRESS(1,MATCH(A1254,INDIRECT("'"&amp;E1254&amp;"'"&amp;"!A9:Z9"),0),4),1,""),""),23)</f>
        <v>D23</v>
      </c>
      <c r="C1254" s="1427" t="str">
        <f t="shared" ca="1" si="214"/>
        <v>D</v>
      </c>
      <c r="D1254" s="1480" t="s">
        <v>1372</v>
      </c>
      <c r="E1254" s="867" t="s">
        <v>208</v>
      </c>
      <c r="F1254" s="1480"/>
      <c r="G1254" s="1480"/>
      <c r="H1254" s="1480"/>
      <c r="I1254" s="1427" t="str">
        <f t="shared" si="212"/>
        <v>Per</v>
      </c>
      <c r="J1254" s="1480" t="str">
        <f>IFERROR(Q$1&amp;M436,"")</f>
        <v>F405</v>
      </c>
      <c r="K1254" s="1480" t="str">
        <f t="shared" si="210"/>
        <v>PIM Model</v>
      </c>
      <c r="L1254" s="1480"/>
      <c r="M1254" s="1480"/>
      <c r="N1254" s="1480"/>
      <c r="O1254" s="1477"/>
      <c r="P1254" s="1477"/>
      <c r="Q1254" s="1477"/>
      <c r="R1254" s="1477"/>
      <c r="S1254" s="1477"/>
      <c r="T1254" s="1477"/>
      <c r="U1254" s="1477"/>
      <c r="V1254" s="1477"/>
      <c r="W1254" s="1477"/>
      <c r="X1254" s="1477"/>
      <c r="Y1254" s="1477"/>
      <c r="Z1254" s="1477"/>
    </row>
    <row r="1255" spans="1:26" hidden="1" x14ac:dyDescent="0.25">
      <c r="A1255" s="929" t="s">
        <v>1256</v>
      </c>
      <c r="B1255" s="1427" t="str">
        <f ca="1">_xlfn.CONCAT(IFERROR(SUBSTITUTE(ADDRESS(1,MATCH(A1255,INDIRECT("'"&amp;E1255&amp;"'"&amp;"!A9:Z9"),0),4),1,""),""),24)</f>
        <v>D24</v>
      </c>
      <c r="C1255" s="1427" t="str">
        <f t="shared" ca="1" si="214"/>
        <v>D</v>
      </c>
      <c r="D1255" s="1480" t="s">
        <v>1372</v>
      </c>
      <c r="E1255" s="867" t="s">
        <v>208</v>
      </c>
      <c r="F1255" s="1480"/>
      <c r="G1255" s="1480"/>
      <c r="H1255" s="1480"/>
      <c r="I1255" s="1427" t="str">
        <f t="shared" si="212"/>
        <v>Per</v>
      </c>
      <c r="J1255" s="1480" t="str">
        <f>IFERROR(Q$1&amp;M448,"")</f>
        <v>F417</v>
      </c>
      <c r="K1255" s="1480" t="str">
        <f t="shared" si="210"/>
        <v>PIM Model</v>
      </c>
      <c r="L1255" s="1480"/>
      <c r="M1255" s="1480"/>
      <c r="N1255" s="1480"/>
      <c r="O1255" s="1477"/>
      <c r="P1255" s="1477"/>
      <c r="Q1255" s="1477"/>
      <c r="R1255" s="1477"/>
      <c r="S1255" s="1477"/>
      <c r="T1255" s="1477"/>
      <c r="U1255" s="1477"/>
      <c r="V1255" s="1477"/>
      <c r="W1255" s="1477"/>
      <c r="X1255" s="1477"/>
      <c r="Y1255" s="1477"/>
      <c r="Z1255" s="1477"/>
    </row>
    <row r="1256" spans="1:26" hidden="1" x14ac:dyDescent="0.25">
      <c r="A1256" s="932" t="s">
        <v>1256</v>
      </c>
      <c r="B1256" s="1427" t="str">
        <f ca="1">_xlfn.CONCAT(IFERROR(SUBSTITUTE(ADDRESS(1,MATCH(A1256,INDIRECT("'"&amp;E1256&amp;"'"&amp;"!A9:Z9"),0),4),1,""),""),25)</f>
        <v>D25</v>
      </c>
      <c r="C1256" s="1427" t="str">
        <f t="shared" ca="1" si="214"/>
        <v>D</v>
      </c>
      <c r="D1256" s="1480" t="s">
        <v>1372</v>
      </c>
      <c r="E1256" s="867" t="s">
        <v>208</v>
      </c>
      <c r="F1256" s="1480"/>
      <c r="G1256" s="1480"/>
      <c r="H1256" s="1480"/>
      <c r="I1256" s="1427" t="str">
        <f t="shared" si="212"/>
        <v>Per</v>
      </c>
      <c r="J1256" s="1480" t="str">
        <f>IFERROR(Q$1&amp;M460,"")</f>
        <v>F429</v>
      </c>
      <c r="K1256" s="1480" t="str">
        <f t="shared" si="210"/>
        <v>PIM Model</v>
      </c>
      <c r="L1256" s="1480"/>
      <c r="M1256" s="1480"/>
      <c r="N1256" s="1480"/>
      <c r="O1256" s="1477"/>
      <c r="P1256" s="1477"/>
      <c r="Q1256" s="1477"/>
      <c r="R1256" s="1477"/>
      <c r="S1256" s="1477"/>
      <c r="T1256" s="1477"/>
      <c r="U1256" s="1477"/>
      <c r="V1256" s="1477"/>
      <c r="W1256" s="1477"/>
      <c r="X1256" s="1477"/>
      <c r="Y1256" s="1477"/>
      <c r="Z1256" s="1477"/>
    </row>
    <row r="1257" spans="1:26" hidden="1" x14ac:dyDescent="0.25">
      <c r="A1257" s="929" t="s">
        <v>1256</v>
      </c>
      <c r="B1257" s="1427" t="str">
        <f ca="1">_xlfn.CONCAT(IFERROR(SUBSTITUTE(ADDRESS(1,MATCH(A1257,INDIRECT("'"&amp;E1257&amp;"'"&amp;"!A9:Z9"),0),4),1,""),""),26)</f>
        <v>D26</v>
      </c>
      <c r="C1257" s="1427" t="str">
        <f t="shared" ca="1" si="214"/>
        <v>D</v>
      </c>
      <c r="D1257" s="1480" t="s">
        <v>1372</v>
      </c>
      <c r="E1257" s="867" t="s">
        <v>208</v>
      </c>
      <c r="F1257" s="1480"/>
      <c r="G1257" s="1480"/>
      <c r="H1257" s="1480"/>
      <c r="I1257" s="1427" t="str">
        <f t="shared" si="212"/>
        <v>Per</v>
      </c>
      <c r="J1257" s="1480" t="str">
        <f>IFERROR(Q$1&amp;M472,"")</f>
        <v>F441</v>
      </c>
      <c r="K1257" s="1480" t="str">
        <f t="shared" si="210"/>
        <v>PIM Model</v>
      </c>
      <c r="L1257" s="1480"/>
      <c r="M1257" s="1480"/>
      <c r="N1257" s="1480"/>
      <c r="O1257" s="1477"/>
      <c r="P1257" s="1477"/>
      <c r="Q1257" s="1477"/>
      <c r="R1257" s="1477"/>
      <c r="S1257" s="1477"/>
      <c r="T1257" s="1477"/>
      <c r="U1257" s="1477"/>
      <c r="V1257" s="1477"/>
      <c r="W1257" s="1477"/>
      <c r="X1257" s="1477"/>
      <c r="Y1257" s="1477"/>
      <c r="Z1257" s="1477"/>
    </row>
    <row r="1258" spans="1:26" hidden="1" x14ac:dyDescent="0.25">
      <c r="A1258" s="932" t="s">
        <v>1256</v>
      </c>
      <c r="B1258" s="1427" t="str">
        <f ca="1">_xlfn.CONCAT(IFERROR(SUBSTITUTE(ADDRESS(1,MATCH(A1258,INDIRECT("'"&amp;E1258&amp;"'"&amp;"!A9:Z9"),0),4),1,""),""),27)</f>
        <v>D27</v>
      </c>
      <c r="C1258" s="1427" t="str">
        <f t="shared" ca="1" si="214"/>
        <v>D</v>
      </c>
      <c r="D1258" s="1480" t="s">
        <v>1372</v>
      </c>
      <c r="E1258" s="867" t="s">
        <v>208</v>
      </c>
      <c r="F1258" s="1480"/>
      <c r="G1258" s="1480"/>
      <c r="H1258" s="1480"/>
      <c r="I1258" s="1427" t="str">
        <f t="shared" si="212"/>
        <v>Per</v>
      </c>
      <c r="J1258" s="1480" t="str">
        <f>IFERROR(Q$1&amp;M484,"")</f>
        <v>F453</v>
      </c>
      <c r="K1258" s="1480" t="str">
        <f t="shared" si="210"/>
        <v>PIM Model</v>
      </c>
      <c r="L1258" s="1480"/>
      <c r="M1258" s="1480"/>
      <c r="N1258" s="1480"/>
      <c r="O1258" s="1477"/>
      <c r="P1258" s="1477"/>
      <c r="Q1258" s="1477"/>
      <c r="R1258" s="1477"/>
      <c r="S1258" s="1477"/>
      <c r="T1258" s="1477"/>
      <c r="U1258" s="1477"/>
      <c r="V1258" s="1477"/>
      <c r="W1258" s="1477"/>
      <c r="X1258" s="1477"/>
      <c r="Y1258" s="1477"/>
      <c r="Z1258" s="1477"/>
    </row>
    <row r="1259" spans="1:26" hidden="1" x14ac:dyDescent="0.25">
      <c r="A1259" s="929" t="s">
        <v>1256</v>
      </c>
      <c r="B1259" s="1427" t="str">
        <f ca="1">_xlfn.CONCAT(IFERROR(SUBSTITUTE(ADDRESS(1,MATCH(A1259,INDIRECT("'"&amp;E1259&amp;"'"&amp;"!A9:Z9"),0),4),1,""),""),28)</f>
        <v>D28</v>
      </c>
      <c r="C1259" s="1427" t="str">
        <f t="shared" ca="1" si="214"/>
        <v>D</v>
      </c>
      <c r="D1259" s="1480" t="s">
        <v>1372</v>
      </c>
      <c r="E1259" s="867" t="s">
        <v>208</v>
      </c>
      <c r="F1259" s="1480"/>
      <c r="G1259" s="1480"/>
      <c r="H1259" s="1480"/>
      <c r="I1259" s="1427" t="str">
        <f t="shared" si="212"/>
        <v>Per</v>
      </c>
      <c r="J1259" s="1480" t="str">
        <f>IFERROR(Q$1&amp;M496,"")</f>
        <v>F465</v>
      </c>
      <c r="K1259" s="1480" t="str">
        <f t="shared" si="210"/>
        <v>PIM Model</v>
      </c>
      <c r="L1259" s="1480"/>
      <c r="M1259" s="1480"/>
      <c r="N1259" s="1480"/>
      <c r="O1259" s="1477"/>
      <c r="P1259" s="1477"/>
      <c r="Q1259" s="1477"/>
      <c r="R1259" s="1477"/>
      <c r="S1259" s="1477"/>
      <c r="T1259" s="1477"/>
      <c r="U1259" s="1477"/>
      <c r="V1259" s="1477"/>
      <c r="W1259" s="1477"/>
      <c r="X1259" s="1477"/>
      <c r="Y1259" s="1477"/>
      <c r="Z1259" s="1477"/>
    </row>
    <row r="1260" spans="1:26" hidden="1" x14ac:dyDescent="0.25">
      <c r="A1260" s="932" t="s">
        <v>1256</v>
      </c>
      <c r="B1260" s="1427" t="str">
        <f ca="1">_xlfn.CONCAT(IFERROR(SUBSTITUTE(ADDRESS(1,MATCH(A1260,INDIRECT("'"&amp;E1260&amp;"'"&amp;"!A9:Z9"),0),4),1,""),""),29)</f>
        <v>D29</v>
      </c>
      <c r="C1260" s="1427" t="str">
        <f t="shared" ca="1" si="214"/>
        <v>D</v>
      </c>
      <c r="D1260" s="1480" t="s">
        <v>1372</v>
      </c>
      <c r="E1260" s="867" t="s">
        <v>208</v>
      </c>
      <c r="F1260" s="1480"/>
      <c r="G1260" s="1480"/>
      <c r="H1260" s="1480"/>
      <c r="I1260" s="1427" t="str">
        <f t="shared" si="212"/>
        <v>Per</v>
      </c>
      <c r="J1260" s="1480" t="str">
        <f>IFERROR(Q$1&amp;M508,"")</f>
        <v>F477</v>
      </c>
      <c r="K1260" s="1480" t="str">
        <f t="shared" si="210"/>
        <v>PIM Model</v>
      </c>
      <c r="L1260" s="1480"/>
      <c r="M1260" s="1480"/>
      <c r="N1260" s="1480"/>
      <c r="O1260" s="1477"/>
      <c r="P1260" s="1477"/>
      <c r="Q1260" s="1477"/>
      <c r="R1260" s="1477"/>
      <c r="S1260" s="1477"/>
      <c r="T1260" s="1477"/>
      <c r="U1260" s="1477"/>
      <c r="V1260" s="1477"/>
      <c r="W1260" s="1477"/>
      <c r="X1260" s="1477"/>
      <c r="Y1260" s="1477"/>
      <c r="Z1260" s="1477"/>
    </row>
    <row r="1261" spans="1:26" hidden="1" x14ac:dyDescent="0.25">
      <c r="A1261" s="929" t="s">
        <v>1256</v>
      </c>
      <c r="B1261" s="1427" t="str">
        <f ca="1">_xlfn.CONCAT(IFERROR(SUBSTITUTE(ADDRESS(1,MATCH(A1261,INDIRECT("'"&amp;E1261&amp;"'"&amp;"!A9:Z9"),0),4),1,""),""),30)</f>
        <v>D30</v>
      </c>
      <c r="C1261" s="1427" t="str">
        <f t="shared" ca="1" si="214"/>
        <v>D</v>
      </c>
      <c r="D1261" s="1480" t="s">
        <v>1372</v>
      </c>
      <c r="E1261" s="867" t="s">
        <v>208</v>
      </c>
      <c r="F1261" s="1480"/>
      <c r="G1261" s="1480"/>
      <c r="H1261" s="1480"/>
      <c r="I1261" s="1427" t="str">
        <f t="shared" si="212"/>
        <v>Per</v>
      </c>
      <c r="J1261" s="1480" t="str">
        <f>IFERROR(Q$1&amp;M520,"")</f>
        <v>F489</v>
      </c>
      <c r="K1261" s="1480" t="str">
        <f t="shared" si="210"/>
        <v>PIM Model</v>
      </c>
      <c r="L1261" s="1480"/>
      <c r="M1261" s="1480"/>
      <c r="N1261" s="1480"/>
      <c r="O1261" s="1477"/>
      <c r="P1261" s="1477"/>
      <c r="Q1261" s="1477"/>
      <c r="R1261" s="1477"/>
      <c r="S1261" s="1477"/>
      <c r="T1261" s="1477"/>
      <c r="U1261" s="1477"/>
      <c r="V1261" s="1477"/>
      <c r="W1261" s="1477"/>
      <c r="X1261" s="1477"/>
      <c r="Y1261" s="1477"/>
      <c r="Z1261" s="1477"/>
    </row>
    <row r="1262" spans="1:26" hidden="1" x14ac:dyDescent="0.25">
      <c r="A1262" s="929" t="s">
        <v>225</v>
      </c>
      <c r="B1262" s="1427" t="str">
        <f ca="1">_xlfn.CONCAT(IFERROR(SUBSTITUTE(ADDRESS(1,MATCH(A1262,INDIRECT("'"&amp;E1262&amp;"'"&amp;"!A9:Z9"),0),4),1,""),""),10)</f>
        <v>K10</v>
      </c>
      <c r="C1262" s="1427" t="str">
        <f ca="1">_xlfn.CONCAT(IFERROR(SUBSTITUTE(ADDRESS(1,MATCH(A1262,INDIRECT("'"&amp;E1262&amp;"'"&amp;"!A9:Z9"),0),4),1,""),""))</f>
        <v>K</v>
      </c>
      <c r="D1262" s="1480" t="s">
        <v>1372</v>
      </c>
      <c r="E1262" s="867" t="s">
        <v>208</v>
      </c>
      <c r="F1262" s="1480"/>
      <c r="G1262" s="1480"/>
      <c r="H1262" s="1480"/>
      <c r="I1262" s="1427" t="str">
        <f t="shared" si="212"/>
        <v>Enter Margin</v>
      </c>
      <c r="J1262" s="1480" t="str">
        <f>IFERROR(Q$1&amp;M281,"")</f>
        <v>F250</v>
      </c>
      <c r="K1262" s="1480" t="str">
        <f t="shared" si="210"/>
        <v>PIM Model</v>
      </c>
      <c r="L1262" s="1480"/>
      <c r="M1262" s="1480"/>
      <c r="N1262" s="1480"/>
      <c r="O1262" s="1477"/>
      <c r="P1262" s="1477"/>
      <c r="Q1262" s="1477"/>
      <c r="R1262" s="1477"/>
      <c r="S1262" s="1477"/>
      <c r="T1262" s="1477"/>
      <c r="U1262" s="1477"/>
      <c r="V1262" s="1477"/>
      <c r="W1262" s="1477"/>
      <c r="X1262" s="1477"/>
      <c r="Y1262" s="1477"/>
      <c r="Z1262" s="1477"/>
    </row>
    <row r="1263" spans="1:26" hidden="1" x14ac:dyDescent="0.25">
      <c r="A1263" s="932" t="s">
        <v>225</v>
      </c>
      <c r="B1263" s="1427" t="str">
        <f ca="1">_xlfn.CONCAT(IFERROR(SUBSTITUTE(ADDRESS(1,MATCH(A1263,INDIRECT("'"&amp;E1263&amp;"'"&amp;"!A9:Z9"),0),4),1,""),""),11)</f>
        <v>K11</v>
      </c>
      <c r="C1263" s="1427" t="str">
        <f t="shared" ref="C1263:C1282" ca="1" si="215">_xlfn.CONCAT(IFERROR(SUBSTITUTE(ADDRESS(1,MATCH(A1263,INDIRECT("'"&amp;E1263&amp;"'"&amp;"!A9:Z9"),0),4),1,""),""))</f>
        <v>K</v>
      </c>
      <c r="D1263" s="1480" t="s">
        <v>1372</v>
      </c>
      <c r="E1263" s="867" t="s">
        <v>208</v>
      </c>
      <c r="F1263" s="1480"/>
      <c r="G1263" s="1480"/>
      <c r="H1263" s="1480"/>
      <c r="I1263" s="1427" t="str">
        <f t="shared" si="212"/>
        <v>Enter Margin</v>
      </c>
      <c r="J1263" s="1480" t="str">
        <f>IFERROR(Q$1&amp;M293,"")</f>
        <v>F262</v>
      </c>
      <c r="K1263" s="1480" t="str">
        <f t="shared" si="210"/>
        <v>PIM Model</v>
      </c>
      <c r="L1263" s="1480"/>
      <c r="M1263" s="1480"/>
      <c r="N1263" s="1480"/>
      <c r="O1263" s="1477"/>
      <c r="P1263" s="1477"/>
      <c r="Q1263" s="1477"/>
      <c r="R1263" s="1477"/>
      <c r="S1263" s="1477"/>
      <c r="T1263" s="1477"/>
      <c r="U1263" s="1477"/>
      <c r="V1263" s="1477"/>
      <c r="W1263" s="1477"/>
      <c r="X1263" s="1477"/>
      <c r="Y1263" s="1477"/>
      <c r="Z1263" s="1477"/>
    </row>
    <row r="1264" spans="1:26" hidden="1" x14ac:dyDescent="0.25">
      <c r="A1264" s="929" t="s">
        <v>225</v>
      </c>
      <c r="B1264" s="1427" t="str">
        <f ca="1">_xlfn.CONCAT(IFERROR(SUBSTITUTE(ADDRESS(1,MATCH(A1264,INDIRECT("'"&amp;E1264&amp;"'"&amp;"!A9:Z9"),0),4),1,""),""),12)</f>
        <v>K12</v>
      </c>
      <c r="C1264" s="1427" t="str">
        <f t="shared" ca="1" si="215"/>
        <v>K</v>
      </c>
      <c r="D1264" s="1480" t="s">
        <v>1372</v>
      </c>
      <c r="E1264" s="867" t="s">
        <v>208</v>
      </c>
      <c r="F1264" s="1480"/>
      <c r="G1264" s="1480"/>
      <c r="H1264" s="1480"/>
      <c r="I1264" s="1427" t="str">
        <f t="shared" si="212"/>
        <v>Enter Margin</v>
      </c>
      <c r="J1264" s="1480" t="str">
        <f>IFERROR(Q$1&amp;M305,"")</f>
        <v>F274</v>
      </c>
      <c r="K1264" s="1480" t="str">
        <f t="shared" si="210"/>
        <v>PIM Model</v>
      </c>
      <c r="L1264" s="1480"/>
      <c r="M1264" s="1480"/>
      <c r="N1264" s="1480"/>
      <c r="O1264" s="1477"/>
      <c r="P1264" s="1477"/>
      <c r="Q1264" s="1477"/>
      <c r="R1264" s="1477"/>
      <c r="S1264" s="1477"/>
      <c r="T1264" s="1477"/>
      <c r="U1264" s="1477"/>
      <c r="V1264" s="1477"/>
      <c r="W1264" s="1477"/>
      <c r="X1264" s="1477"/>
      <c r="Y1264" s="1477"/>
      <c r="Z1264" s="1477"/>
    </row>
    <row r="1265" spans="1:26" hidden="1" x14ac:dyDescent="0.25">
      <c r="A1265" s="932" t="s">
        <v>225</v>
      </c>
      <c r="B1265" s="1427" t="str">
        <f ca="1">_xlfn.CONCAT(IFERROR(SUBSTITUTE(ADDRESS(1,MATCH(A1265,INDIRECT("'"&amp;E1265&amp;"'"&amp;"!A9:Z9"),0),4),1,""),""),13)</f>
        <v>K13</v>
      </c>
      <c r="C1265" s="1427" t="str">
        <f t="shared" ca="1" si="215"/>
        <v>K</v>
      </c>
      <c r="D1265" s="1480" t="s">
        <v>1372</v>
      </c>
      <c r="E1265" s="867" t="s">
        <v>208</v>
      </c>
      <c r="F1265" s="1480"/>
      <c r="G1265" s="1480"/>
      <c r="H1265" s="1480"/>
      <c r="I1265" s="1427" t="str">
        <f t="shared" si="212"/>
        <v>Enter Margin</v>
      </c>
      <c r="J1265" s="1480" t="str">
        <f>IFERROR(Q$1&amp;M317,"")</f>
        <v>F286</v>
      </c>
      <c r="K1265" s="1480" t="str">
        <f t="shared" si="210"/>
        <v>PIM Model</v>
      </c>
      <c r="L1265" s="1480"/>
      <c r="M1265" s="1480"/>
      <c r="N1265" s="1480"/>
      <c r="O1265" s="1477"/>
      <c r="P1265" s="1477"/>
      <c r="Q1265" s="1477"/>
      <c r="R1265" s="1477"/>
      <c r="S1265" s="1477"/>
      <c r="T1265" s="1477"/>
      <c r="U1265" s="1477"/>
      <c r="V1265" s="1477"/>
      <c r="W1265" s="1477"/>
      <c r="X1265" s="1477"/>
      <c r="Y1265" s="1477"/>
      <c r="Z1265" s="1477"/>
    </row>
    <row r="1266" spans="1:26" hidden="1" x14ac:dyDescent="0.25">
      <c r="A1266" s="929" t="s">
        <v>225</v>
      </c>
      <c r="B1266" s="1427" t="str">
        <f ca="1">_xlfn.CONCAT(IFERROR(SUBSTITUTE(ADDRESS(1,MATCH(A1266,INDIRECT("'"&amp;E1266&amp;"'"&amp;"!A9:Z9"),0),4),1,""),""),14)</f>
        <v>K14</v>
      </c>
      <c r="C1266" s="1427" t="str">
        <f t="shared" ca="1" si="215"/>
        <v>K</v>
      </c>
      <c r="D1266" s="1480" t="s">
        <v>1372</v>
      </c>
      <c r="E1266" s="867" t="s">
        <v>208</v>
      </c>
      <c r="F1266" s="1480"/>
      <c r="G1266" s="1480"/>
      <c r="H1266" s="1480"/>
      <c r="I1266" s="1427" t="str">
        <f t="shared" si="212"/>
        <v>Enter Margin</v>
      </c>
      <c r="J1266" s="1480" t="str">
        <f>IFERROR(Q$1&amp;M329,"")</f>
        <v>F298</v>
      </c>
      <c r="K1266" s="1480" t="str">
        <f t="shared" si="210"/>
        <v>PIM Model</v>
      </c>
      <c r="L1266" s="1480"/>
      <c r="M1266" s="1480"/>
      <c r="N1266" s="1480"/>
      <c r="O1266" s="1477"/>
      <c r="P1266" s="1477"/>
      <c r="Q1266" s="1477"/>
      <c r="R1266" s="1477"/>
      <c r="S1266" s="1477"/>
      <c r="T1266" s="1477"/>
      <c r="U1266" s="1477"/>
      <c r="V1266" s="1477"/>
      <c r="W1266" s="1477"/>
      <c r="X1266" s="1477"/>
      <c r="Y1266" s="1477"/>
      <c r="Z1266" s="1477"/>
    </row>
    <row r="1267" spans="1:26" hidden="1" x14ac:dyDescent="0.25">
      <c r="A1267" s="932" t="s">
        <v>225</v>
      </c>
      <c r="B1267" s="1427" t="str">
        <f ca="1">_xlfn.CONCAT(IFERROR(SUBSTITUTE(ADDRESS(1,MATCH(A1267,INDIRECT("'"&amp;E1267&amp;"'"&amp;"!A9:Z9"),0),4),1,""),""),15)</f>
        <v>K15</v>
      </c>
      <c r="C1267" s="1427" t="str">
        <f t="shared" ca="1" si="215"/>
        <v>K</v>
      </c>
      <c r="D1267" s="1480" t="s">
        <v>1372</v>
      </c>
      <c r="E1267" s="867" t="s">
        <v>208</v>
      </c>
      <c r="F1267" s="1480"/>
      <c r="G1267" s="1480"/>
      <c r="H1267" s="1480"/>
      <c r="I1267" s="1427" t="str">
        <f t="shared" si="212"/>
        <v>Enter Margin</v>
      </c>
      <c r="J1267" s="1480" t="str">
        <f>IFERROR(Q$1&amp;M341,"")</f>
        <v>F310</v>
      </c>
      <c r="K1267" s="1480" t="str">
        <f t="shared" si="210"/>
        <v>PIM Model</v>
      </c>
      <c r="L1267" s="1480"/>
      <c r="M1267" s="1480"/>
      <c r="N1267" s="1480"/>
      <c r="O1267" s="1477"/>
      <c r="P1267" s="1477"/>
      <c r="Q1267" s="1477"/>
      <c r="R1267" s="1477"/>
      <c r="S1267" s="1477"/>
      <c r="T1267" s="1477"/>
      <c r="U1267" s="1477"/>
      <c r="V1267" s="1477"/>
      <c r="W1267" s="1477"/>
      <c r="X1267" s="1477"/>
      <c r="Y1267" s="1477"/>
      <c r="Z1267" s="1477"/>
    </row>
    <row r="1268" spans="1:26" hidden="1" x14ac:dyDescent="0.25">
      <c r="A1268" s="929" t="s">
        <v>225</v>
      </c>
      <c r="B1268" s="1427" t="str">
        <f ca="1">_xlfn.CONCAT(IFERROR(SUBSTITUTE(ADDRESS(1,MATCH(A1268,INDIRECT("'"&amp;E1268&amp;"'"&amp;"!A9:Z9"),0),4),1,""),""),16)</f>
        <v>K16</v>
      </c>
      <c r="C1268" s="1427" t="str">
        <f t="shared" ca="1" si="215"/>
        <v>K</v>
      </c>
      <c r="D1268" s="1480" t="s">
        <v>1372</v>
      </c>
      <c r="E1268" s="867" t="s">
        <v>208</v>
      </c>
      <c r="F1268" s="1480"/>
      <c r="G1268" s="1480"/>
      <c r="H1268" s="1480"/>
      <c r="I1268" s="1427" t="str">
        <f t="shared" si="212"/>
        <v>Enter Margin</v>
      </c>
      <c r="J1268" s="1480" t="str">
        <f>IFERROR(Q$1&amp;M353,"")</f>
        <v>F322</v>
      </c>
      <c r="K1268" s="1480" t="str">
        <f t="shared" si="210"/>
        <v>PIM Model</v>
      </c>
      <c r="L1268" s="1480"/>
      <c r="M1268" s="1480"/>
      <c r="N1268" s="1480"/>
      <c r="O1268" s="1477"/>
      <c r="P1268" s="1477"/>
      <c r="Q1268" s="1477"/>
      <c r="R1268" s="1477"/>
      <c r="S1268" s="1477"/>
      <c r="T1268" s="1477"/>
      <c r="U1268" s="1477"/>
      <c r="V1268" s="1477"/>
      <c r="W1268" s="1477"/>
      <c r="X1268" s="1477"/>
      <c r="Y1268" s="1477"/>
      <c r="Z1268" s="1477"/>
    </row>
    <row r="1269" spans="1:26" hidden="1" x14ac:dyDescent="0.25">
      <c r="A1269" s="932" t="s">
        <v>225</v>
      </c>
      <c r="B1269" s="1427" t="str">
        <f ca="1">_xlfn.CONCAT(IFERROR(SUBSTITUTE(ADDRESS(1,MATCH(A1269,INDIRECT("'"&amp;E1269&amp;"'"&amp;"!A9:Z9"),0),4),1,""),""),17)</f>
        <v>K17</v>
      </c>
      <c r="C1269" s="1427" t="str">
        <f t="shared" ca="1" si="215"/>
        <v>K</v>
      </c>
      <c r="D1269" s="1480" t="s">
        <v>1372</v>
      </c>
      <c r="E1269" s="867" t="s">
        <v>208</v>
      </c>
      <c r="F1269" s="1480"/>
      <c r="G1269" s="1480"/>
      <c r="H1269" s="1480"/>
      <c r="I1269" s="1427" t="str">
        <f t="shared" si="212"/>
        <v>Enter Margin</v>
      </c>
      <c r="J1269" s="1480" t="str">
        <f>IFERROR(Q$1&amp;M365,"")</f>
        <v>F334</v>
      </c>
      <c r="K1269" s="1480" t="str">
        <f t="shared" si="210"/>
        <v>PIM Model</v>
      </c>
      <c r="L1269" s="1480"/>
      <c r="M1269" s="1480"/>
      <c r="N1269" s="1480"/>
      <c r="O1269" s="1477"/>
      <c r="P1269" s="1477"/>
      <c r="Q1269" s="1477"/>
      <c r="R1269" s="1477"/>
      <c r="S1269" s="1477"/>
      <c r="T1269" s="1477"/>
      <c r="U1269" s="1477"/>
      <c r="V1269" s="1477"/>
      <c r="W1269" s="1477"/>
      <c r="X1269" s="1477"/>
      <c r="Y1269" s="1477"/>
      <c r="Z1269" s="1477"/>
    </row>
    <row r="1270" spans="1:26" hidden="1" x14ac:dyDescent="0.25">
      <c r="A1270" s="929" t="s">
        <v>225</v>
      </c>
      <c r="B1270" s="1427" t="str">
        <f ca="1">_xlfn.CONCAT(IFERROR(SUBSTITUTE(ADDRESS(1,MATCH(A1270,INDIRECT("'"&amp;E1270&amp;"'"&amp;"!A9:Z9"),0),4),1,""),""),18)</f>
        <v>K18</v>
      </c>
      <c r="C1270" s="1427" t="str">
        <f t="shared" ca="1" si="215"/>
        <v>K</v>
      </c>
      <c r="D1270" s="1480" t="s">
        <v>1372</v>
      </c>
      <c r="E1270" s="867" t="s">
        <v>208</v>
      </c>
      <c r="F1270" s="1480"/>
      <c r="G1270" s="1480"/>
      <c r="H1270" s="1480"/>
      <c r="I1270" s="1427" t="str">
        <f t="shared" si="212"/>
        <v>Enter Margin</v>
      </c>
      <c r="J1270" s="1480" t="str">
        <f>IFERROR(Q$1&amp;M377,"")</f>
        <v>F346</v>
      </c>
      <c r="K1270" s="1480" t="str">
        <f t="shared" si="210"/>
        <v>PIM Model</v>
      </c>
      <c r="L1270" s="1480"/>
      <c r="M1270" s="1480"/>
      <c r="N1270" s="1480"/>
      <c r="O1270" s="1477"/>
      <c r="P1270" s="1477"/>
      <c r="Q1270" s="1477"/>
      <c r="R1270" s="1477"/>
      <c r="S1270" s="1477"/>
      <c r="T1270" s="1477"/>
      <c r="U1270" s="1477"/>
      <c r="V1270" s="1477"/>
      <c r="W1270" s="1477"/>
      <c r="X1270" s="1477"/>
      <c r="Y1270" s="1477"/>
      <c r="Z1270" s="1477"/>
    </row>
    <row r="1271" spans="1:26" hidden="1" x14ac:dyDescent="0.25">
      <c r="A1271" s="932" t="s">
        <v>225</v>
      </c>
      <c r="B1271" s="1427" t="str">
        <f ca="1">_xlfn.CONCAT(IFERROR(SUBSTITUTE(ADDRESS(1,MATCH(A1271,INDIRECT("'"&amp;E1271&amp;"'"&amp;"!A9:Z9"),0),4),1,""),""),19)</f>
        <v>K19</v>
      </c>
      <c r="C1271" s="1427" t="str">
        <f t="shared" ca="1" si="215"/>
        <v>K</v>
      </c>
      <c r="D1271" s="1480" t="s">
        <v>1372</v>
      </c>
      <c r="E1271" s="867" t="s">
        <v>208</v>
      </c>
      <c r="F1271" s="1480"/>
      <c r="G1271" s="1480"/>
      <c r="H1271" s="1480"/>
      <c r="I1271" s="1427" t="str">
        <f t="shared" si="212"/>
        <v>Enter Margin</v>
      </c>
      <c r="J1271" s="1480" t="str">
        <f>IFERROR(Q$1&amp;M389,"")</f>
        <v>F358</v>
      </c>
      <c r="K1271" s="1480" t="str">
        <f t="shared" si="210"/>
        <v>PIM Model</v>
      </c>
      <c r="L1271" s="1480"/>
      <c r="M1271" s="1480"/>
      <c r="N1271" s="1480"/>
      <c r="O1271" s="1477"/>
      <c r="P1271" s="1477"/>
      <c r="Q1271" s="1477"/>
      <c r="R1271" s="1477"/>
      <c r="S1271" s="1477"/>
      <c r="T1271" s="1477"/>
      <c r="U1271" s="1477"/>
      <c r="V1271" s="1477"/>
      <c r="W1271" s="1477"/>
      <c r="X1271" s="1477"/>
      <c r="Y1271" s="1477"/>
      <c r="Z1271" s="1477"/>
    </row>
    <row r="1272" spans="1:26" hidden="1" x14ac:dyDescent="0.25">
      <c r="A1272" s="929" t="s">
        <v>225</v>
      </c>
      <c r="B1272" s="1427" t="str">
        <f ca="1">_xlfn.CONCAT(IFERROR(SUBSTITUTE(ADDRESS(1,MATCH(A1272,INDIRECT("'"&amp;E1272&amp;"'"&amp;"!A9:Z9"),0),4),1,""),""),20)</f>
        <v>K20</v>
      </c>
      <c r="C1272" s="1427" t="str">
        <f t="shared" ca="1" si="215"/>
        <v>K</v>
      </c>
      <c r="D1272" s="1480" t="s">
        <v>1372</v>
      </c>
      <c r="E1272" s="867" t="s">
        <v>208</v>
      </c>
      <c r="F1272" s="1480"/>
      <c r="G1272" s="1480"/>
      <c r="H1272" s="1480"/>
      <c r="I1272" s="1427" t="str">
        <f t="shared" si="212"/>
        <v>Enter Margin</v>
      </c>
      <c r="J1272" s="1480" t="str">
        <f>IFERROR(Q$1&amp;M401,"")</f>
        <v>F370</v>
      </c>
      <c r="K1272" s="1480" t="str">
        <f t="shared" si="210"/>
        <v>PIM Model</v>
      </c>
      <c r="L1272" s="1480"/>
      <c r="M1272" s="1480"/>
      <c r="N1272" s="1480"/>
      <c r="O1272" s="1477"/>
      <c r="P1272" s="1477"/>
      <c r="Q1272" s="1477"/>
      <c r="R1272" s="1477"/>
      <c r="S1272" s="1477"/>
      <c r="T1272" s="1477"/>
      <c r="U1272" s="1477"/>
      <c r="V1272" s="1477"/>
      <c r="W1272" s="1477"/>
      <c r="X1272" s="1477"/>
      <c r="Y1272" s="1477"/>
      <c r="Z1272" s="1477"/>
    </row>
    <row r="1273" spans="1:26" hidden="1" x14ac:dyDescent="0.25">
      <c r="A1273" s="932" t="s">
        <v>225</v>
      </c>
      <c r="B1273" s="1427" t="str">
        <f ca="1">_xlfn.CONCAT(IFERROR(SUBSTITUTE(ADDRESS(1,MATCH(A1273,INDIRECT("'"&amp;E1273&amp;"'"&amp;"!A9:Z9"),0),4),1,""),""),21)</f>
        <v>K21</v>
      </c>
      <c r="C1273" s="1427" t="str">
        <f t="shared" ca="1" si="215"/>
        <v>K</v>
      </c>
      <c r="D1273" s="1480" t="s">
        <v>1372</v>
      </c>
      <c r="E1273" s="867" t="s">
        <v>208</v>
      </c>
      <c r="F1273" s="1480"/>
      <c r="G1273" s="1480"/>
      <c r="H1273" s="1480"/>
      <c r="I1273" s="1427" t="str">
        <f t="shared" si="212"/>
        <v>Enter Margin</v>
      </c>
      <c r="J1273" s="1480" t="str">
        <f>IFERROR(Q$1&amp;M413,"")</f>
        <v>F382</v>
      </c>
      <c r="K1273" s="1480" t="str">
        <f t="shared" si="210"/>
        <v>PIM Model</v>
      </c>
      <c r="L1273" s="1480"/>
      <c r="M1273" s="1480"/>
      <c r="N1273" s="1480"/>
      <c r="O1273" s="1477"/>
      <c r="P1273" s="1477"/>
      <c r="Q1273" s="1477"/>
      <c r="R1273" s="1477"/>
      <c r="S1273" s="1477"/>
      <c r="T1273" s="1477"/>
      <c r="U1273" s="1477"/>
      <c r="V1273" s="1477"/>
      <c r="W1273" s="1477"/>
      <c r="X1273" s="1477"/>
      <c r="Y1273" s="1477"/>
      <c r="Z1273" s="1477"/>
    </row>
    <row r="1274" spans="1:26" hidden="1" x14ac:dyDescent="0.25">
      <c r="A1274" s="929" t="s">
        <v>225</v>
      </c>
      <c r="B1274" s="1427" t="str">
        <f ca="1">_xlfn.CONCAT(IFERROR(SUBSTITUTE(ADDRESS(1,MATCH(A1274,INDIRECT("'"&amp;E1274&amp;"'"&amp;"!A9:Z9"),0),4),1,""),""),22)</f>
        <v>K22</v>
      </c>
      <c r="C1274" s="1427" t="str">
        <f t="shared" ca="1" si="215"/>
        <v>K</v>
      </c>
      <c r="D1274" s="1480" t="s">
        <v>1372</v>
      </c>
      <c r="E1274" s="867" t="s">
        <v>208</v>
      </c>
      <c r="F1274" s="1480"/>
      <c r="G1274" s="1480"/>
      <c r="H1274" s="1480"/>
      <c r="I1274" s="1427" t="str">
        <f t="shared" si="212"/>
        <v>Enter Margin</v>
      </c>
      <c r="J1274" s="1480" t="str">
        <f>IFERROR(Q$1&amp;M425,"")</f>
        <v>F394</v>
      </c>
      <c r="K1274" s="1480" t="str">
        <f t="shared" si="210"/>
        <v>PIM Model</v>
      </c>
      <c r="L1274" s="1480"/>
      <c r="M1274" s="1480"/>
      <c r="N1274" s="1480"/>
      <c r="O1274" s="1477"/>
      <c r="P1274" s="1477"/>
      <c r="Q1274" s="1477"/>
      <c r="R1274" s="1477"/>
      <c r="S1274" s="1477"/>
      <c r="T1274" s="1477"/>
      <c r="U1274" s="1477"/>
      <c r="V1274" s="1477"/>
      <c r="W1274" s="1477"/>
      <c r="X1274" s="1477"/>
      <c r="Y1274" s="1477"/>
      <c r="Z1274" s="1477"/>
    </row>
    <row r="1275" spans="1:26" hidden="1" x14ac:dyDescent="0.25">
      <c r="A1275" s="932" t="s">
        <v>225</v>
      </c>
      <c r="B1275" s="1427" t="str">
        <f ca="1">_xlfn.CONCAT(IFERROR(SUBSTITUTE(ADDRESS(1,MATCH(A1275,INDIRECT("'"&amp;E1275&amp;"'"&amp;"!A9:Z9"),0),4),1,""),""),23)</f>
        <v>K23</v>
      </c>
      <c r="C1275" s="1427" t="str">
        <f t="shared" ca="1" si="215"/>
        <v>K</v>
      </c>
      <c r="D1275" s="1480" t="s">
        <v>1372</v>
      </c>
      <c r="E1275" s="867" t="s">
        <v>208</v>
      </c>
      <c r="F1275" s="1480"/>
      <c r="G1275" s="1480"/>
      <c r="H1275" s="1480"/>
      <c r="I1275" s="1427" t="str">
        <f t="shared" si="212"/>
        <v>Enter Margin</v>
      </c>
      <c r="J1275" s="1480" t="str">
        <f>IFERROR(Q$1&amp;M437,"")</f>
        <v>F406</v>
      </c>
      <c r="K1275" s="1480" t="str">
        <f t="shared" si="210"/>
        <v>PIM Model</v>
      </c>
      <c r="L1275" s="1480"/>
      <c r="M1275" s="1480"/>
      <c r="N1275" s="1480"/>
      <c r="O1275" s="1477"/>
      <c r="P1275" s="1477"/>
      <c r="Q1275" s="1477"/>
      <c r="R1275" s="1477"/>
      <c r="S1275" s="1477"/>
      <c r="T1275" s="1477"/>
      <c r="U1275" s="1477"/>
      <c r="V1275" s="1477"/>
      <c r="W1275" s="1477"/>
      <c r="X1275" s="1477"/>
      <c r="Y1275" s="1477"/>
      <c r="Z1275" s="1477"/>
    </row>
    <row r="1276" spans="1:26" hidden="1" x14ac:dyDescent="0.25">
      <c r="A1276" s="929" t="s">
        <v>225</v>
      </c>
      <c r="B1276" s="1427" t="str">
        <f ca="1">_xlfn.CONCAT(IFERROR(SUBSTITUTE(ADDRESS(1,MATCH(A1276,INDIRECT("'"&amp;E1276&amp;"'"&amp;"!A9:Z9"),0),4),1,""),""),24)</f>
        <v>K24</v>
      </c>
      <c r="C1276" s="1427" t="str">
        <f t="shared" ca="1" si="215"/>
        <v>K</v>
      </c>
      <c r="D1276" s="1480" t="s">
        <v>1372</v>
      </c>
      <c r="E1276" s="867" t="s">
        <v>208</v>
      </c>
      <c r="F1276" s="1480"/>
      <c r="G1276" s="1480"/>
      <c r="H1276" s="1480"/>
      <c r="I1276" s="1427" t="str">
        <f t="shared" si="212"/>
        <v>Enter Margin</v>
      </c>
      <c r="J1276" s="1480" t="str">
        <f>IFERROR(Q$1&amp;M449,"")</f>
        <v>F418</v>
      </c>
      <c r="K1276" s="1480" t="str">
        <f t="shared" si="210"/>
        <v>PIM Model</v>
      </c>
      <c r="L1276" s="1480"/>
      <c r="M1276" s="1480"/>
      <c r="N1276" s="1480"/>
      <c r="O1276" s="1477"/>
      <c r="P1276" s="1477"/>
      <c r="Q1276" s="1477"/>
      <c r="R1276" s="1477"/>
      <c r="S1276" s="1477"/>
      <c r="T1276" s="1477"/>
      <c r="U1276" s="1477"/>
      <c r="V1276" s="1477"/>
      <c r="W1276" s="1477"/>
      <c r="X1276" s="1477"/>
      <c r="Y1276" s="1477"/>
      <c r="Z1276" s="1477"/>
    </row>
    <row r="1277" spans="1:26" hidden="1" x14ac:dyDescent="0.25">
      <c r="A1277" s="932" t="s">
        <v>225</v>
      </c>
      <c r="B1277" s="1427" t="str">
        <f ca="1">_xlfn.CONCAT(IFERROR(SUBSTITUTE(ADDRESS(1,MATCH(A1277,INDIRECT("'"&amp;E1277&amp;"'"&amp;"!A9:Z9"),0),4),1,""),""),25)</f>
        <v>K25</v>
      </c>
      <c r="C1277" s="1427" t="str">
        <f t="shared" ca="1" si="215"/>
        <v>K</v>
      </c>
      <c r="D1277" s="1480" t="s">
        <v>1372</v>
      </c>
      <c r="E1277" s="867" t="s">
        <v>208</v>
      </c>
      <c r="F1277" s="1480"/>
      <c r="G1277" s="1480"/>
      <c r="H1277" s="1480"/>
      <c r="I1277" s="1427" t="str">
        <f t="shared" si="212"/>
        <v>Enter Margin</v>
      </c>
      <c r="J1277" s="1480" t="str">
        <f>IFERROR(Q$1&amp;M461,"")</f>
        <v>F430</v>
      </c>
      <c r="K1277" s="1480" t="str">
        <f t="shared" si="210"/>
        <v>PIM Model</v>
      </c>
      <c r="L1277" s="1480"/>
      <c r="M1277" s="1480"/>
      <c r="N1277" s="1480"/>
      <c r="O1277" s="1477"/>
      <c r="P1277" s="1477"/>
      <c r="Q1277" s="1477"/>
      <c r="R1277" s="1477"/>
      <c r="S1277" s="1477"/>
      <c r="T1277" s="1477"/>
      <c r="U1277" s="1477"/>
      <c r="V1277" s="1477"/>
      <c r="W1277" s="1477"/>
      <c r="X1277" s="1477"/>
      <c r="Y1277" s="1477"/>
      <c r="Z1277" s="1477"/>
    </row>
    <row r="1278" spans="1:26" hidden="1" x14ac:dyDescent="0.25">
      <c r="A1278" s="929" t="s">
        <v>225</v>
      </c>
      <c r="B1278" s="1427" t="str">
        <f ca="1">_xlfn.CONCAT(IFERROR(SUBSTITUTE(ADDRESS(1,MATCH(A1278,INDIRECT("'"&amp;E1278&amp;"'"&amp;"!A9:Z9"),0),4),1,""),""),26)</f>
        <v>K26</v>
      </c>
      <c r="C1278" s="1427" t="str">
        <f t="shared" ca="1" si="215"/>
        <v>K</v>
      </c>
      <c r="D1278" s="1480" t="s">
        <v>1372</v>
      </c>
      <c r="E1278" s="867" t="s">
        <v>208</v>
      </c>
      <c r="F1278" s="1480"/>
      <c r="G1278" s="1480"/>
      <c r="H1278" s="1480"/>
      <c r="I1278" s="1427" t="str">
        <f t="shared" si="212"/>
        <v>Enter Margin</v>
      </c>
      <c r="J1278" s="1480" t="str">
        <f>IFERROR(Q$1&amp;M473,"")</f>
        <v>F442</v>
      </c>
      <c r="K1278" s="1480" t="str">
        <f t="shared" si="210"/>
        <v>PIM Model</v>
      </c>
      <c r="L1278" s="1480"/>
      <c r="M1278" s="1480"/>
      <c r="N1278" s="1480"/>
      <c r="O1278" s="1477"/>
      <c r="P1278" s="1477"/>
      <c r="Q1278" s="1477"/>
      <c r="R1278" s="1477"/>
      <c r="S1278" s="1477"/>
      <c r="T1278" s="1477"/>
      <c r="U1278" s="1477"/>
      <c r="V1278" s="1477"/>
      <c r="W1278" s="1477"/>
      <c r="X1278" s="1477"/>
      <c r="Y1278" s="1477"/>
      <c r="Z1278" s="1477"/>
    </row>
    <row r="1279" spans="1:26" hidden="1" x14ac:dyDescent="0.25">
      <c r="A1279" s="932" t="s">
        <v>225</v>
      </c>
      <c r="B1279" s="1427" t="str">
        <f ca="1">_xlfn.CONCAT(IFERROR(SUBSTITUTE(ADDRESS(1,MATCH(A1279,INDIRECT("'"&amp;E1279&amp;"'"&amp;"!A9:Z9"),0),4),1,""),""),27)</f>
        <v>K27</v>
      </c>
      <c r="C1279" s="1427" t="str">
        <f t="shared" ca="1" si="215"/>
        <v>K</v>
      </c>
      <c r="D1279" s="1480" t="s">
        <v>1372</v>
      </c>
      <c r="E1279" s="867" t="s">
        <v>208</v>
      </c>
      <c r="F1279" s="1480"/>
      <c r="G1279" s="1480"/>
      <c r="H1279" s="1480"/>
      <c r="I1279" s="1427" t="str">
        <f t="shared" si="212"/>
        <v>Enter Margin</v>
      </c>
      <c r="J1279" s="1480" t="str">
        <f>IFERROR(Q$1&amp;M485,"")</f>
        <v>F454</v>
      </c>
      <c r="K1279" s="1480" t="str">
        <f t="shared" si="210"/>
        <v>PIM Model</v>
      </c>
      <c r="L1279" s="1480"/>
      <c r="M1279" s="1480"/>
      <c r="N1279" s="1480"/>
      <c r="O1279" s="1477"/>
      <c r="P1279" s="1477"/>
      <c r="Q1279" s="1477"/>
      <c r="R1279" s="1477"/>
      <c r="S1279" s="1477"/>
      <c r="T1279" s="1477"/>
      <c r="U1279" s="1477"/>
      <c r="V1279" s="1477"/>
      <c r="W1279" s="1477"/>
      <c r="X1279" s="1477"/>
      <c r="Y1279" s="1477"/>
      <c r="Z1279" s="1477"/>
    </row>
    <row r="1280" spans="1:26" hidden="1" x14ac:dyDescent="0.25">
      <c r="A1280" s="929" t="s">
        <v>225</v>
      </c>
      <c r="B1280" s="1427" t="str">
        <f ca="1">_xlfn.CONCAT(IFERROR(SUBSTITUTE(ADDRESS(1,MATCH(A1280,INDIRECT("'"&amp;E1280&amp;"'"&amp;"!A9:Z9"),0),4),1,""),""),28)</f>
        <v>K28</v>
      </c>
      <c r="C1280" s="1427" t="str">
        <f t="shared" ca="1" si="215"/>
        <v>K</v>
      </c>
      <c r="D1280" s="1480" t="s">
        <v>1372</v>
      </c>
      <c r="E1280" s="867" t="s">
        <v>208</v>
      </c>
      <c r="F1280" s="1480"/>
      <c r="G1280" s="1480"/>
      <c r="H1280" s="1480"/>
      <c r="I1280" s="1427" t="str">
        <f t="shared" si="212"/>
        <v>Enter Margin</v>
      </c>
      <c r="J1280" s="1480" t="str">
        <f>IFERROR(Q$1&amp;M497,"")</f>
        <v>F466</v>
      </c>
      <c r="K1280" s="1480" t="str">
        <f t="shared" si="210"/>
        <v>PIM Model</v>
      </c>
      <c r="L1280" s="1480"/>
      <c r="M1280" s="1480"/>
      <c r="N1280" s="1480"/>
      <c r="O1280" s="1477"/>
      <c r="P1280" s="1477"/>
      <c r="Q1280" s="1477"/>
      <c r="R1280" s="1477"/>
      <c r="S1280" s="1477"/>
      <c r="T1280" s="1477"/>
      <c r="U1280" s="1477"/>
      <c r="V1280" s="1477"/>
      <c r="W1280" s="1477"/>
      <c r="X1280" s="1477"/>
      <c r="Y1280" s="1477"/>
      <c r="Z1280" s="1477"/>
    </row>
    <row r="1281" spans="1:26" hidden="1" x14ac:dyDescent="0.25">
      <c r="A1281" s="932" t="s">
        <v>225</v>
      </c>
      <c r="B1281" s="1427" t="str">
        <f ca="1">_xlfn.CONCAT(IFERROR(SUBSTITUTE(ADDRESS(1,MATCH(A1281,INDIRECT("'"&amp;E1281&amp;"'"&amp;"!A9:Z9"),0),4),1,""),""),29)</f>
        <v>K29</v>
      </c>
      <c r="C1281" s="1427" t="str">
        <f t="shared" ca="1" si="215"/>
        <v>K</v>
      </c>
      <c r="D1281" s="1480" t="s">
        <v>1372</v>
      </c>
      <c r="E1281" s="867" t="s">
        <v>208</v>
      </c>
      <c r="F1281" s="1480"/>
      <c r="G1281" s="1480"/>
      <c r="H1281" s="1480"/>
      <c r="I1281" s="1427" t="str">
        <f t="shared" si="212"/>
        <v>Enter Margin</v>
      </c>
      <c r="J1281" s="1480" t="str">
        <f>IFERROR(Q$1&amp;M509,"")</f>
        <v>F478</v>
      </c>
      <c r="K1281" s="1480" t="str">
        <f t="shared" si="210"/>
        <v>PIM Model</v>
      </c>
      <c r="L1281" s="1480"/>
      <c r="M1281" s="1480"/>
      <c r="N1281" s="1480"/>
      <c r="O1281" s="1477"/>
      <c r="P1281" s="1477"/>
      <c r="Q1281" s="1477"/>
      <c r="R1281" s="1477"/>
      <c r="S1281" s="1477"/>
      <c r="T1281" s="1477"/>
      <c r="U1281" s="1477"/>
      <c r="V1281" s="1477"/>
      <c r="W1281" s="1477"/>
      <c r="X1281" s="1477"/>
      <c r="Y1281" s="1477"/>
      <c r="Z1281" s="1477"/>
    </row>
    <row r="1282" spans="1:26" hidden="1" x14ac:dyDescent="0.25">
      <c r="A1282" s="929" t="s">
        <v>225</v>
      </c>
      <c r="B1282" s="1427" t="str">
        <f ca="1">_xlfn.CONCAT(IFERROR(SUBSTITUTE(ADDRESS(1,MATCH(A1282,INDIRECT("'"&amp;E1282&amp;"'"&amp;"!A9:Z9"),0),4),1,""),""),30)</f>
        <v>K30</v>
      </c>
      <c r="C1282" s="1427" t="str">
        <f t="shared" ca="1" si="215"/>
        <v>K</v>
      </c>
      <c r="D1282" s="1480" t="s">
        <v>1372</v>
      </c>
      <c r="E1282" s="867" t="s">
        <v>208</v>
      </c>
      <c r="F1282" s="1480"/>
      <c r="G1282" s="1480"/>
      <c r="H1282" s="1480"/>
      <c r="I1282" s="1427" t="str">
        <f t="shared" si="212"/>
        <v>Enter Margin</v>
      </c>
      <c r="J1282" s="1480" t="str">
        <f>IFERROR(Q$1&amp;M521,"")</f>
        <v>F490</v>
      </c>
      <c r="K1282" s="1480" t="str">
        <f t="shared" si="210"/>
        <v>PIM Model</v>
      </c>
      <c r="L1282" s="1480"/>
      <c r="M1282" s="1480"/>
      <c r="N1282" s="1480"/>
      <c r="O1282" s="1477"/>
      <c r="P1282" s="1477"/>
      <c r="Q1282" s="1477"/>
      <c r="R1282" s="1477"/>
      <c r="S1282" s="1477"/>
      <c r="T1282" s="1477"/>
      <c r="U1282" s="1477"/>
      <c r="V1282" s="1477"/>
      <c r="W1282" s="1477"/>
      <c r="X1282" s="1477"/>
      <c r="Y1282" s="1477"/>
      <c r="Z1282" s="1477"/>
    </row>
    <row r="1283" spans="1:26" hidden="1"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80" t="s">
        <v>1491</v>
      </c>
      <c r="J1283" s="1480" t="str">
        <f>IFERROR(Q$1&amp;M1283,"")</f>
        <v>F1203</v>
      </c>
      <c r="K1283" s="1480" t="str">
        <f t="shared" si="210"/>
        <v>Incentives</v>
      </c>
      <c r="L1283" s="1480" t="s">
        <v>1832</v>
      </c>
      <c r="M1283" s="1480">
        <v>1203</v>
      </c>
      <c r="N1283" s="1480"/>
      <c r="O1283" s="1477"/>
      <c r="P1283" s="1477"/>
      <c r="Q1283" s="1477"/>
      <c r="R1283" s="1480" t="s">
        <v>1165</v>
      </c>
      <c r="S1283" s="1477"/>
      <c r="T1283" s="1477"/>
      <c r="U1283" s="1477"/>
      <c r="V1283" s="1477"/>
      <c r="W1283" s="1477"/>
      <c r="X1283" s="1477"/>
      <c r="Y1283" s="1477"/>
      <c r="Z1283" s="1477"/>
    </row>
    <row r="1284" spans="1:26" hidden="1"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80" t="s">
        <v>1490</v>
      </c>
      <c r="J1284" s="1480" t="str">
        <f>IFERROR(Q$1&amp;M1284,"")</f>
        <v>F1204</v>
      </c>
      <c r="K1284" s="1480" t="str">
        <f t="shared" ref="K1284:K1348" si="216">IF(J1284&lt;&gt;"",E1284,"")</f>
        <v>Incentives</v>
      </c>
      <c r="L1284" s="1480" t="s">
        <v>1833</v>
      </c>
      <c r="M1284" s="1480">
        <v>1204</v>
      </c>
      <c r="N1284" s="1480"/>
      <c r="O1284" s="1477"/>
      <c r="P1284" s="1477"/>
      <c r="Q1284" s="1477"/>
      <c r="R1284" s="1480" t="s">
        <v>1165</v>
      </c>
      <c r="S1284" s="1477"/>
      <c r="T1284" s="1477"/>
      <c r="U1284" s="1477"/>
      <c r="V1284" s="1477"/>
      <c r="W1284" s="1477"/>
      <c r="X1284" s="1477"/>
      <c r="Y1284" s="1477"/>
      <c r="Z1284" s="1477"/>
    </row>
    <row r="1285" spans="1:26" hidden="1" x14ac:dyDescent="0.25">
      <c r="A1285" s="1480" t="s">
        <v>1840</v>
      </c>
      <c r="B1285" s="1427" t="str">
        <f>IFERROR(_xlfn.CONCAT("D",MATCH(A1285,Incentives!D$1:D$60,0)),"")</f>
        <v>D8</v>
      </c>
      <c r="C1285" s="1427" t="str">
        <f>IFERROR(_xlfn.CONCAT("E",MATCH(A1285,Incentives!D$1:D$60,0)),"")</f>
        <v>E8</v>
      </c>
      <c r="D1285" s="1480" t="s">
        <v>1365</v>
      </c>
      <c r="E1285" s="867" t="s">
        <v>1806</v>
      </c>
      <c r="F1285" s="1480" t="s">
        <v>1999</v>
      </c>
      <c r="G1285" s="1480" t="s">
        <v>240</v>
      </c>
      <c r="H1285" s="1480" t="s">
        <v>1248</v>
      </c>
      <c r="I1285" s="1480" t="s">
        <v>1807</v>
      </c>
      <c r="J1285" s="1480" t="str">
        <f>IFERROR(Q$1&amp;M1285,"")</f>
        <v>F</v>
      </c>
      <c r="K1285" s="1480" t="str">
        <f t="shared" si="216"/>
        <v>Incentives</v>
      </c>
      <c r="L1285" s="1480"/>
      <c r="M1285" s="1480"/>
      <c r="N1285" s="1480"/>
      <c r="O1285" s="1477"/>
      <c r="P1285" s="1477"/>
      <c r="Q1285" s="1477"/>
      <c r="R1285" s="1480" t="s">
        <v>1165</v>
      </c>
      <c r="S1285" s="1477"/>
      <c r="T1285" s="1477"/>
      <c r="U1285" s="1477"/>
      <c r="V1285" s="1477"/>
      <c r="W1285" s="1477"/>
      <c r="X1285" s="1477"/>
      <c r="Y1285" s="1477"/>
      <c r="Z1285" s="1477"/>
    </row>
    <row r="1286" spans="1:26" hidden="1" x14ac:dyDescent="0.25">
      <c r="A1286" s="1107" t="s">
        <v>526</v>
      </c>
      <c r="B1286" s="1427" t="str">
        <f>IFERROR(_xlfn.CONCAT("D",('Configurable Tab'!$C$3+1)),"")</f>
        <v>D13</v>
      </c>
      <c r="C1286" s="1427" t="str">
        <f>IFERROR(_xlfn.CONCAT("E",('Configurable Tab'!$C$3+1)),"")</f>
        <v>E13</v>
      </c>
      <c r="D1286" s="1480" t="s">
        <v>1365</v>
      </c>
      <c r="E1286" s="867" t="s">
        <v>1806</v>
      </c>
      <c r="F1286" s="1480"/>
      <c r="G1286" s="1480"/>
      <c r="H1286" s="1480"/>
      <c r="I1286" s="1427" t="str">
        <f t="shared" ref="I1286:I1349" si="217">IF(J1286&lt;&gt;"",A1286,"")</f>
        <v>Offer this Incentive?</v>
      </c>
      <c r="J1286" s="1480" t="str">
        <f>$Q$1&amp;IF(T$1286&lt;&gt;0,U1286,IF(T$1304&lt;&gt;0,U1304,IF(T$1322&lt;&gt;0,U1322,"")))</f>
        <v>F553</v>
      </c>
      <c r="K1286" s="1480" t="str">
        <f t="shared" si="216"/>
        <v>Incentives</v>
      </c>
      <c r="L1286" s="1480"/>
      <c r="M1286" s="1480"/>
      <c r="N1286" s="1480"/>
      <c r="O1286" s="1477" t="s">
        <v>1808</v>
      </c>
      <c r="P1286" s="1477"/>
      <c r="Q1286" s="1427" t="str">
        <f>IFERROR(_xlfn.CONCAT("C",('Configurable Tab'!$C3+1)),"")</f>
        <v>C13</v>
      </c>
      <c r="R1286" s="1480" t="s">
        <v>857</v>
      </c>
      <c r="S1286" s="1480" t="s">
        <v>1809</v>
      </c>
      <c r="T1286" s="1479">
        <f>IF(Q$540="Yes",IF(Q$555="Yes",2,1),0)</f>
        <v>0</v>
      </c>
      <c r="U1286" s="1480" t="str">
        <f>IF(Q$540="Yes",M540,"")</f>
        <v/>
      </c>
      <c r="V1286" s="1480" t="str">
        <f>IF(Q$555="Yes",M555,"")</f>
        <v/>
      </c>
      <c r="W1286" s="1477"/>
      <c r="X1286" s="1477"/>
      <c r="Y1286" s="1477"/>
      <c r="Z1286" s="1477"/>
    </row>
    <row r="1287" spans="1:26" hidden="1" x14ac:dyDescent="0.25">
      <c r="A1287" s="1108" t="s">
        <v>1399</v>
      </c>
      <c r="B1287" s="1427" t="str">
        <f>IFERROR(_xlfn.CONCAT("D",('Configurable Tab'!$C$3+2)),"")</f>
        <v>D14</v>
      </c>
      <c r="C1287" s="1427" t="str">
        <f>IFERROR(_xlfn.CONCAT("E",('Configurable Tab'!$C$3+2)),"")</f>
        <v>E14</v>
      </c>
      <c r="D1287" s="1480" t="s">
        <v>1365</v>
      </c>
      <c r="E1287" s="867" t="s">
        <v>1806</v>
      </c>
      <c r="F1287" s="1480"/>
      <c r="G1287" s="1480"/>
      <c r="H1287" s="1480"/>
      <c r="I1287" s="1427" t="str">
        <f t="shared" si="217"/>
        <v>Incentive Type</v>
      </c>
      <c r="J1287" s="1480" t="str">
        <f t="shared" ref="J1287:J1303" si="218">$Q$1&amp;IF(T$1286&lt;&gt;0,U1287,IF(T$1304&lt;&gt;0,U1305,IF(T$1322&lt;&gt;0,U1323,"")))</f>
        <v>F554</v>
      </c>
      <c r="K1287" s="1480" t="str">
        <f t="shared" si="216"/>
        <v>Incentives</v>
      </c>
      <c r="L1287" s="1480"/>
      <c r="M1287" s="1480"/>
      <c r="N1287" s="1480"/>
      <c r="O1287" s="1477"/>
      <c r="P1287" s="1477"/>
      <c r="Q1287" s="1477"/>
      <c r="R1287" s="1480" t="s">
        <v>857</v>
      </c>
      <c r="S1287" s="1480" t="s">
        <v>1809</v>
      </c>
      <c r="T1287" s="1477"/>
      <c r="U1287" s="1480" t="str">
        <f>IF(Q$540="Yes",M541,"")</f>
        <v/>
      </c>
      <c r="V1287" s="1480" t="str">
        <f>IF(Q$555="Yes",M556,"")</f>
        <v/>
      </c>
      <c r="W1287" s="1477"/>
      <c r="X1287" s="1477"/>
      <c r="Y1287" s="1477"/>
      <c r="Z1287" s="1477"/>
    </row>
    <row r="1288" spans="1:26" hidden="1" x14ac:dyDescent="0.25">
      <c r="A1288" s="1108" t="s">
        <v>1401</v>
      </c>
      <c r="B1288" s="1427" t="str">
        <f>IFERROR(_xlfn.CONCAT("D",('Configurable Tab'!$C$3+4)),"")</f>
        <v>D16</v>
      </c>
      <c r="C1288" s="1427" t="str">
        <f>IFERROR(_xlfn.CONCAT("E",('Configurable Tab'!$C$3+4)),"")</f>
        <v>E16</v>
      </c>
      <c r="D1288" s="1480" t="s">
        <v>1365</v>
      </c>
      <c r="E1288" s="867" t="s">
        <v>1806</v>
      </c>
      <c r="F1288" s="1480"/>
      <c r="G1288" s="1480"/>
      <c r="H1288" s="1480"/>
      <c r="I1288" s="1427" t="str">
        <f t="shared" si="217"/>
        <v>Incentive Effective Date</v>
      </c>
      <c r="J1288" s="1480" t="str">
        <f t="shared" si="218"/>
        <v>F562</v>
      </c>
      <c r="K1288" s="1480" t="str">
        <f t="shared" si="216"/>
        <v>Incentives</v>
      </c>
      <c r="L1288" s="1480"/>
      <c r="M1288" s="1480"/>
      <c r="N1288" s="1480"/>
      <c r="O1288" s="1477"/>
      <c r="P1288" s="1477"/>
      <c r="Q1288" s="1477"/>
      <c r="R1288" s="1480" t="s">
        <v>857</v>
      </c>
      <c r="S1288" s="1480" t="s">
        <v>1809</v>
      </c>
      <c r="T1288" s="1477"/>
      <c r="U1288" s="1480" t="str">
        <f>IF(Q$540="Yes",M549,"")</f>
        <v/>
      </c>
      <c r="V1288" s="1480" t="str">
        <f>IF(Q$555="Yes",M564,"")</f>
        <v/>
      </c>
      <c r="W1288" s="1477"/>
      <c r="X1288" s="1477"/>
      <c r="Y1288" s="1477"/>
      <c r="Z1288" s="1477"/>
    </row>
    <row r="1289" spans="1:26" hidden="1" x14ac:dyDescent="0.25">
      <c r="A1289" s="1108" t="s">
        <v>1402</v>
      </c>
      <c r="B1289" s="1427" t="str">
        <f>IFERROR(_xlfn.CONCAT("D",('Configurable Tab'!$C$3+5)),"")</f>
        <v>D17</v>
      </c>
      <c r="C1289" s="1427" t="str">
        <f>IFERROR(_xlfn.CONCAT("E",('Configurable Tab'!$C$3+5)),"")</f>
        <v>E17</v>
      </c>
      <c r="D1289" s="1480" t="s">
        <v>1365</v>
      </c>
      <c r="E1289" s="867" t="s">
        <v>1806</v>
      </c>
      <c r="F1289" s="1480"/>
      <c r="G1289" s="1480"/>
      <c r="H1289" s="1480"/>
      <c r="I1289" s="1427" t="str">
        <f t="shared" si="217"/>
        <v>Incentive Expiration Date</v>
      </c>
      <c r="J1289" s="1480" t="str">
        <f t="shared" si="218"/>
        <v>F563</v>
      </c>
      <c r="K1289" s="1480" t="str">
        <f t="shared" si="216"/>
        <v>Incentives</v>
      </c>
      <c r="L1289" s="1480"/>
      <c r="M1289" s="1480"/>
      <c r="N1289" s="1480"/>
      <c r="O1289" s="1477"/>
      <c r="P1289" s="1477"/>
      <c r="Q1289" s="1477"/>
      <c r="R1289" s="1480" t="s">
        <v>857</v>
      </c>
      <c r="S1289" s="1480" t="s">
        <v>1809</v>
      </c>
      <c r="T1289" s="1477"/>
      <c r="U1289" s="1480" t="str">
        <f>IF(Q$540="Yes",M550,"")</f>
        <v/>
      </c>
      <c r="V1289" s="1480" t="str">
        <f>IF(Q$555="Yes",M565,"")</f>
        <v/>
      </c>
      <c r="W1289" s="1477"/>
      <c r="X1289" s="1477"/>
      <c r="Y1289" s="1477"/>
      <c r="Z1289" s="1477"/>
    </row>
    <row r="1290" spans="1:26" hidden="1" x14ac:dyDescent="0.25">
      <c r="A1290" s="1108" t="s">
        <v>1396</v>
      </c>
      <c r="B1290" s="1427" t="str">
        <f>IFERROR(_xlfn.CONCAT("G",('Configurable Tab'!$C$3+1)),"")</f>
        <v>G13</v>
      </c>
      <c r="C1290" s="1427" t="str">
        <f>IFERROR(_xlfn.CONCAT("G",('Configurable Tab'!$C$3+2)),"")</f>
        <v>G14</v>
      </c>
      <c r="D1290" s="1480" t="s">
        <v>1365</v>
      </c>
      <c r="E1290" s="867" t="s">
        <v>1806</v>
      </c>
      <c r="F1290" s="1476"/>
      <c r="G1290" s="1180"/>
      <c r="H1290" s="1480"/>
      <c r="I1290" s="1427" t="str">
        <f t="shared" si="217"/>
        <v>Incentive Period</v>
      </c>
      <c r="J1290" s="1480" t="str">
        <f t="shared" si="218"/>
        <v>F555</v>
      </c>
      <c r="K1290" s="1480" t="str">
        <f t="shared" si="216"/>
        <v>Incentives</v>
      </c>
      <c r="L1290" s="1480"/>
      <c r="M1290" s="1480"/>
      <c r="N1290" s="1480"/>
      <c r="O1290" s="1477"/>
      <c r="P1290" s="1477"/>
      <c r="Q1290" s="1477"/>
      <c r="R1290" s="1480" t="s">
        <v>857</v>
      </c>
      <c r="S1290" s="1482" t="s">
        <v>1809</v>
      </c>
      <c r="T1290" s="1477"/>
      <c r="U1290" s="1480" t="str">
        <f>IF(Q$540="Yes",M542,"")</f>
        <v/>
      </c>
      <c r="V1290" s="1480" t="str">
        <f>IF(Q$555="Yes",M557,"")</f>
        <v/>
      </c>
      <c r="W1290" s="1477"/>
      <c r="X1290" s="1477"/>
      <c r="Y1290" s="1477"/>
      <c r="Z1290" s="1477"/>
    </row>
    <row r="1291" spans="1:26" hidden="1" x14ac:dyDescent="0.25">
      <c r="A1291" s="1108" t="s">
        <v>1397</v>
      </c>
      <c r="B1291" s="1427" t="str">
        <f>IFERROR(_xlfn.CONCAT("I",('Configurable Tab'!$C$3+1)),"")</f>
        <v>I13</v>
      </c>
      <c r="C1291" s="1427" t="str">
        <f>IFERROR(_xlfn.CONCAT("I",('Configurable Tab'!$C$3+2)),"")</f>
        <v>I14</v>
      </c>
      <c r="D1291" s="1480" t="s">
        <v>1365</v>
      </c>
      <c r="E1291" s="867" t="s">
        <v>1806</v>
      </c>
      <c r="F1291" s="1480"/>
      <c r="G1291" s="1480"/>
      <c r="H1291" s="1480"/>
      <c r="I1291" s="1427" t="str">
        <f t="shared" si="217"/>
        <v>Payment Method</v>
      </c>
      <c r="J1291" s="1480" t="str">
        <f t="shared" si="218"/>
        <v>F556</v>
      </c>
      <c r="K1291" s="1480" t="str">
        <f t="shared" si="216"/>
        <v>Incentives</v>
      </c>
      <c r="L1291" s="1480"/>
      <c r="M1291" s="1480"/>
      <c r="N1291" s="1480"/>
      <c r="O1291" s="1477"/>
      <c r="P1291" s="1477"/>
      <c r="Q1291" s="1477"/>
      <c r="R1291" s="1480" t="s">
        <v>857</v>
      </c>
      <c r="S1291" s="1482" t="s">
        <v>1809</v>
      </c>
      <c r="T1291" s="1477"/>
      <c r="U1291" s="1480" t="str">
        <f>IF(Q$540="Yes",M543,"")</f>
        <v/>
      </c>
      <c r="V1291" s="1480" t="str">
        <f>IF(Q$555="Yes",M558,"")</f>
        <v/>
      </c>
      <c r="W1291" s="1477"/>
      <c r="X1291" s="1477"/>
      <c r="Y1291" s="1477"/>
      <c r="Z1291" s="1477"/>
    </row>
    <row r="1292" spans="1:26" hidden="1" x14ac:dyDescent="0.25">
      <c r="A1292" s="1108" t="s">
        <v>839</v>
      </c>
      <c r="B1292" s="1427" t="str">
        <f>IFERROR(_xlfn.CONCAT("K",('Configurable Tab'!$C$3+1)),"")</f>
        <v>K13</v>
      </c>
      <c r="C1292" s="1427" t="str">
        <f>IFERROR(_xlfn.CONCAT("K",('Configurable Tab'!$C$3+2)),"")</f>
        <v>K14</v>
      </c>
      <c r="D1292" s="1480" t="s">
        <v>1365</v>
      </c>
      <c r="E1292" s="867" t="s">
        <v>1806</v>
      </c>
      <c r="F1292" s="1480"/>
      <c r="G1292" s="1480"/>
      <c r="H1292" s="1480"/>
      <c r="I1292" s="1427" t="str">
        <f t="shared" si="217"/>
        <v>Paid to:</v>
      </c>
      <c r="J1292" s="1480" t="str">
        <f t="shared" si="218"/>
        <v>F557</v>
      </c>
      <c r="K1292" s="1480" t="str">
        <f t="shared" si="216"/>
        <v>Incentives</v>
      </c>
      <c r="L1292" s="1480"/>
      <c r="M1292" s="1480"/>
      <c r="N1292" s="1480"/>
      <c r="O1292" s="1477"/>
      <c r="P1292" s="1477"/>
      <c r="Q1292" s="1477"/>
      <c r="R1292" s="1480" t="s">
        <v>857</v>
      </c>
      <c r="S1292" s="1482" t="s">
        <v>1809</v>
      </c>
      <c r="T1292" s="1477"/>
      <c r="U1292" s="1480" t="str">
        <f>IF(Q$540="Yes",M544,"")</f>
        <v/>
      </c>
      <c r="V1292" s="1480" t="str">
        <f>IF(Q$555="Yes",M559,"")</f>
        <v/>
      </c>
      <c r="W1292" s="1477"/>
      <c r="X1292" s="1477"/>
      <c r="Y1292" s="1477"/>
      <c r="Z1292" s="1477"/>
    </row>
    <row r="1293" spans="1:26" hidden="1" x14ac:dyDescent="0.25">
      <c r="A1293" s="1108" t="s">
        <v>1398</v>
      </c>
      <c r="B1293" s="1427" t="str">
        <f>IFERROR(_xlfn.CONCAT("M",('Configurable Tab'!$C$3+1)),"")</f>
        <v>M13</v>
      </c>
      <c r="C1293" s="1427" t="str">
        <f>IFERROR(_xlfn.CONCAT("M",('Configurable Tab'!$C$3+2)),"")</f>
        <v>M14</v>
      </c>
      <c r="D1293" s="1480" t="s">
        <v>1365</v>
      </c>
      <c r="E1293" s="867" t="s">
        <v>1806</v>
      </c>
      <c r="F1293" s="1480"/>
      <c r="G1293" s="1480"/>
      <c r="H1293" s="1480"/>
      <c r="I1293" s="1427" t="str">
        <f t="shared" si="217"/>
        <v>AP/AR Vendor Number</v>
      </c>
      <c r="J1293" s="1480" t="str">
        <f t="shared" si="218"/>
        <v>F558</v>
      </c>
      <c r="K1293" s="1480" t="str">
        <f t="shared" si="216"/>
        <v>Incentives</v>
      </c>
      <c r="L1293" s="1480"/>
      <c r="M1293" s="1480"/>
      <c r="N1293" s="1480"/>
      <c r="O1293" s="1477"/>
      <c r="P1293" s="1477"/>
      <c r="Q1293" s="1477"/>
      <c r="R1293" s="1480" t="s">
        <v>857</v>
      </c>
      <c r="S1293" s="1482" t="s">
        <v>1809</v>
      </c>
      <c r="T1293" s="1477"/>
      <c r="U1293" s="1480" t="str">
        <f>IF(Q$540="Yes",M545,"")</f>
        <v/>
      </c>
      <c r="V1293" s="1480" t="str">
        <f>IF(Q$555="Yes",M560,"")</f>
        <v/>
      </c>
      <c r="W1293" s="1477"/>
      <c r="X1293" s="1477"/>
      <c r="Y1293" s="1477"/>
      <c r="Z1293" s="1477"/>
    </row>
    <row r="1294" spans="1:26" hidden="1" x14ac:dyDescent="0.25">
      <c r="A1294" s="1108" t="s">
        <v>1403</v>
      </c>
      <c r="B1294" s="1427" t="str">
        <f>IFERROR(_xlfn.CONCAT("G",('Configurable Tab'!$C$3+6)),"")</f>
        <v>G18</v>
      </c>
      <c r="C1294" s="1427" t="str">
        <f>IFERROR(_xlfn.CONCAT("G",('Configurable Tab'!$C$3+7)),"")</f>
        <v>G19</v>
      </c>
      <c r="D1294" s="1480" t="s">
        <v>1365</v>
      </c>
      <c r="E1294" s="867" t="s">
        <v>1806</v>
      </c>
      <c r="F1294" s="1480"/>
      <c r="G1294" s="1480"/>
      <c r="H1294" s="1480"/>
      <c r="I1294" s="1427" t="str">
        <f t="shared" si="217"/>
        <v>Minimum Units</v>
      </c>
      <c r="J1294" s="1480" t="str">
        <f t="shared" si="218"/>
        <v>F567</v>
      </c>
      <c r="K1294" s="1480" t="str">
        <f t="shared" si="216"/>
        <v>Incentives</v>
      </c>
      <c r="L1294" s="1480"/>
      <c r="M1294" s="1480"/>
      <c r="N1294" s="1480"/>
      <c r="O1294" s="1477"/>
      <c r="P1294" s="1477"/>
      <c r="Q1294" s="1477"/>
      <c r="R1294" s="1480" t="s">
        <v>857</v>
      </c>
      <c r="S1294" s="1477"/>
      <c r="T1294" s="1477"/>
      <c r="U1294" s="1477"/>
      <c r="V1294" s="1477"/>
      <c r="W1294" s="1477"/>
      <c r="X1294" s="1477"/>
      <c r="Y1294" s="1477"/>
      <c r="Z1294" s="1477"/>
    </row>
    <row r="1295" spans="1:26" hidden="1" x14ac:dyDescent="0.25">
      <c r="A1295" s="1108" t="s">
        <v>1403</v>
      </c>
      <c r="B1295" s="1427" t="str">
        <f>IFERROR(_xlfn.CONCAT("G",('Configurable Tab'!$C$3+6)),"")</f>
        <v>G18</v>
      </c>
      <c r="C1295" s="1427" t="str">
        <f>IFERROR(_xlfn.CONCAT("G",('Configurable Tab'!$C$3+8)),"")</f>
        <v>G20</v>
      </c>
      <c r="D1295" s="1480" t="s">
        <v>1365</v>
      </c>
      <c r="E1295" s="867" t="s">
        <v>1806</v>
      </c>
      <c r="F1295" s="1480"/>
      <c r="G1295" s="1480"/>
      <c r="H1295" s="1480"/>
      <c r="I1295" s="1427" t="str">
        <f t="shared" si="217"/>
        <v>Minimum Units</v>
      </c>
      <c r="J1295" s="1480" t="str">
        <f t="shared" si="218"/>
        <v>F</v>
      </c>
      <c r="K1295" s="1480" t="str">
        <f t="shared" si="216"/>
        <v>Incentives</v>
      </c>
      <c r="L1295" s="1480"/>
      <c r="M1295" s="1480"/>
      <c r="N1295" s="1480"/>
      <c r="O1295" s="1477"/>
      <c r="P1295" s="1477"/>
      <c r="Q1295" s="1477"/>
      <c r="R1295" s="1480" t="s">
        <v>857</v>
      </c>
      <c r="S1295" s="1477"/>
      <c r="T1295" s="1477"/>
      <c r="U1295" s="1477"/>
      <c r="V1295" s="1477"/>
      <c r="W1295" s="1477"/>
      <c r="X1295" s="1477"/>
      <c r="Y1295" s="1477"/>
      <c r="Z1295" s="1477"/>
    </row>
    <row r="1296" spans="1:26" hidden="1" x14ac:dyDescent="0.25">
      <c r="A1296" s="1108" t="s">
        <v>1403</v>
      </c>
      <c r="B1296" s="1427" t="str">
        <f>IFERROR(_xlfn.CONCAT("G",('Configurable Tab'!$C$3+6)),"")</f>
        <v>G18</v>
      </c>
      <c r="C1296" s="1427" t="str">
        <f>IFERROR(_xlfn.CONCAT("G",('Configurable Tab'!$C$3+9)),"")</f>
        <v>G21</v>
      </c>
      <c r="D1296" s="1480" t="s">
        <v>1365</v>
      </c>
      <c r="E1296" s="867" t="s">
        <v>1806</v>
      </c>
      <c r="F1296" s="1480"/>
      <c r="G1296" s="1480"/>
      <c r="H1296" s="1480"/>
      <c r="I1296" s="1427" t="str">
        <f t="shared" si="217"/>
        <v>Minimum Units</v>
      </c>
      <c r="J1296" s="1480" t="str">
        <f t="shared" si="218"/>
        <v>F</v>
      </c>
      <c r="K1296" s="1480" t="str">
        <f t="shared" si="216"/>
        <v>Incentives</v>
      </c>
      <c r="L1296" s="1480"/>
      <c r="M1296" s="1480"/>
      <c r="N1296" s="1480"/>
      <c r="O1296" s="1477"/>
      <c r="P1296" s="1477"/>
      <c r="Q1296" s="1477"/>
      <c r="R1296" s="1480" t="s">
        <v>857</v>
      </c>
      <c r="S1296" s="1477"/>
      <c r="T1296" s="1477"/>
      <c r="U1296" s="1477"/>
      <c r="V1296" s="1477"/>
      <c r="W1296" s="1477"/>
      <c r="X1296" s="1477"/>
      <c r="Y1296" s="1477"/>
      <c r="Z1296" s="1477"/>
    </row>
    <row r="1297" spans="1:26" hidden="1" x14ac:dyDescent="0.25">
      <c r="A1297" s="1108" t="s">
        <v>1403</v>
      </c>
      <c r="B1297" s="1427" t="str">
        <f>IFERROR(_xlfn.CONCAT("G",('Configurable Tab'!$C$3+6)),"")</f>
        <v>G18</v>
      </c>
      <c r="C1297" s="1427" t="str">
        <f>IFERROR(_xlfn.CONCAT("G",('Configurable Tab'!$C$3+10)),"")</f>
        <v>G22</v>
      </c>
      <c r="D1297" s="1480" t="s">
        <v>1365</v>
      </c>
      <c r="E1297" s="867" t="s">
        <v>1806</v>
      </c>
      <c r="F1297" s="1480"/>
      <c r="G1297" s="1480"/>
      <c r="H1297" s="1480"/>
      <c r="I1297" s="1427" t="str">
        <f t="shared" si="217"/>
        <v>Minimum Units</v>
      </c>
      <c r="J1297" s="1480" t="str">
        <f t="shared" si="218"/>
        <v>F</v>
      </c>
      <c r="K1297" s="1480" t="str">
        <f t="shared" si="216"/>
        <v>Incentives</v>
      </c>
      <c r="L1297" s="1480"/>
      <c r="M1297" s="1480"/>
      <c r="N1297" s="1480"/>
      <c r="O1297" s="1477"/>
      <c r="P1297" s="1477"/>
      <c r="Q1297" s="1477"/>
      <c r="R1297" s="1480" t="s">
        <v>857</v>
      </c>
      <c r="S1297" s="1477"/>
      <c r="T1297" s="1477"/>
      <c r="U1297" s="1477"/>
      <c r="V1297" s="1477"/>
      <c r="W1297" s="1477"/>
      <c r="X1297" s="1477"/>
      <c r="Y1297" s="1477"/>
      <c r="Z1297" s="1477"/>
    </row>
    <row r="1298" spans="1:26" hidden="1" x14ac:dyDescent="0.25">
      <c r="A1298" s="1108" t="s">
        <v>1403</v>
      </c>
      <c r="B1298" s="1427" t="str">
        <f>IFERROR(_xlfn.CONCAT("G",('Configurable Tab'!$C$3+6)),"")</f>
        <v>G18</v>
      </c>
      <c r="C1298" s="1427" t="str">
        <f>IFERROR(_xlfn.CONCAT("G",('Configurable Tab'!$C$3+11)),"")</f>
        <v>G23</v>
      </c>
      <c r="D1298" s="1480" t="s">
        <v>1365</v>
      </c>
      <c r="E1298" s="867" t="s">
        <v>1806</v>
      </c>
      <c r="F1298" s="1480"/>
      <c r="G1298" s="1480"/>
      <c r="H1298" s="1480"/>
      <c r="I1298" s="1427" t="str">
        <f t="shared" si="217"/>
        <v>Minimum Units</v>
      </c>
      <c r="J1298" s="1480" t="str">
        <f t="shared" si="218"/>
        <v>F</v>
      </c>
      <c r="K1298" s="1480" t="str">
        <f t="shared" si="216"/>
        <v>Incentives</v>
      </c>
      <c r="L1298" s="1480"/>
      <c r="M1298" s="1480"/>
      <c r="N1298" s="1480"/>
      <c r="O1298" s="1477"/>
      <c r="P1298" s="1477"/>
      <c r="Q1298" s="1477"/>
      <c r="R1298" s="1480" t="s">
        <v>857</v>
      </c>
      <c r="S1298" s="1477"/>
      <c r="T1298" s="1477"/>
      <c r="U1298" s="1477"/>
      <c r="V1298" s="1477"/>
      <c r="W1298" s="1477"/>
      <c r="X1298" s="1477"/>
      <c r="Y1298" s="1477"/>
      <c r="Z1298" s="1477"/>
    </row>
    <row r="1299" spans="1:26" hidden="1" x14ac:dyDescent="0.25">
      <c r="A1299" s="1108" t="s">
        <v>1405</v>
      </c>
      <c r="B1299" s="1427" t="str">
        <f>IFERROR(_xlfn.CONCAT("K",('Configurable Tab'!$C$3+6)),"")</f>
        <v>K18</v>
      </c>
      <c r="C1299" s="1427" t="str">
        <f>IFERROR(_xlfn.CONCAT("K",('Configurable Tab'!$C$3+7)),"")</f>
        <v>K19</v>
      </c>
      <c r="D1299" s="1480" t="s">
        <v>1365</v>
      </c>
      <c r="E1299" s="867" t="s">
        <v>1806</v>
      </c>
      <c r="F1299" s="1480"/>
      <c r="G1299" s="1480"/>
      <c r="H1299" s="1480"/>
      <c r="I1299" s="1427" t="str">
        <f t="shared" si="217"/>
        <v>Rate % of Sales</v>
      </c>
      <c r="J1299" s="1480" t="str">
        <f t="shared" si="218"/>
        <v>F569</v>
      </c>
      <c r="K1299" s="1480" t="str">
        <f t="shared" si="216"/>
        <v>Incentives</v>
      </c>
      <c r="L1299" s="1480"/>
      <c r="M1299" s="1480"/>
      <c r="N1299" s="1480"/>
      <c r="O1299" s="1477"/>
      <c r="P1299" s="1477"/>
      <c r="Q1299" s="1477"/>
      <c r="R1299" s="1480" t="s">
        <v>857</v>
      </c>
      <c r="S1299" s="1477"/>
      <c r="T1299" s="1477"/>
      <c r="U1299" s="1477"/>
      <c r="V1299" s="1477"/>
      <c r="W1299" s="1477"/>
      <c r="X1299" s="1477"/>
      <c r="Y1299" s="1477"/>
      <c r="Z1299" s="1477"/>
    </row>
    <row r="1300" spans="1:26" hidden="1" x14ac:dyDescent="0.25">
      <c r="A1300" s="1108" t="s">
        <v>1405</v>
      </c>
      <c r="B1300" s="1427" t="str">
        <f>IFERROR(_xlfn.CONCAT("K",('Configurable Tab'!$C$3+6)),"")</f>
        <v>K18</v>
      </c>
      <c r="C1300" s="1427" t="str">
        <f>IFERROR(_xlfn.CONCAT("K",('Configurable Tab'!$C$3+8)),"")</f>
        <v>K20</v>
      </c>
      <c r="D1300" s="1480" t="s">
        <v>1365</v>
      </c>
      <c r="E1300" s="867" t="s">
        <v>1806</v>
      </c>
      <c r="F1300" s="1480"/>
      <c r="G1300" s="1480"/>
      <c r="H1300" s="1480"/>
      <c r="I1300" s="1427" t="str">
        <f t="shared" si="217"/>
        <v>Rate % of Sales</v>
      </c>
      <c r="J1300" s="1480" t="str">
        <f t="shared" si="218"/>
        <v>F</v>
      </c>
      <c r="K1300" s="1480" t="str">
        <f t="shared" si="216"/>
        <v>Incentives</v>
      </c>
      <c r="L1300" s="1480"/>
      <c r="M1300" s="1480"/>
      <c r="N1300" s="1480"/>
      <c r="O1300" s="1477"/>
      <c r="P1300" s="1477"/>
      <c r="Q1300" s="1477"/>
      <c r="R1300" s="1480" t="s">
        <v>857</v>
      </c>
      <c r="S1300" s="1477"/>
      <c r="T1300" s="1477"/>
      <c r="U1300" s="1477"/>
      <c r="V1300" s="1477"/>
      <c r="W1300" s="1477"/>
      <c r="X1300" s="1477"/>
      <c r="Y1300" s="1477"/>
      <c r="Z1300" s="1477"/>
    </row>
    <row r="1301" spans="1:26" hidden="1" x14ac:dyDescent="0.25">
      <c r="A1301" s="1108" t="s">
        <v>1405</v>
      </c>
      <c r="B1301" s="1427" t="str">
        <f>IFERROR(_xlfn.CONCAT("K",('Configurable Tab'!$C$3+6)),"")</f>
        <v>K18</v>
      </c>
      <c r="C1301" s="1427" t="str">
        <f>IFERROR(_xlfn.CONCAT("K",('Configurable Tab'!$C$3+9)),"")</f>
        <v>K21</v>
      </c>
      <c r="D1301" s="1480" t="s">
        <v>1365</v>
      </c>
      <c r="E1301" s="867" t="s">
        <v>1806</v>
      </c>
      <c r="F1301" s="1480"/>
      <c r="G1301" s="1480"/>
      <c r="H1301" s="1480"/>
      <c r="I1301" s="1427" t="str">
        <f t="shared" si="217"/>
        <v>Rate % of Sales</v>
      </c>
      <c r="J1301" s="1480" t="str">
        <f t="shared" si="218"/>
        <v>F</v>
      </c>
      <c r="K1301" s="1480" t="str">
        <f t="shared" si="216"/>
        <v>Incentives</v>
      </c>
      <c r="L1301" s="1480"/>
      <c r="M1301" s="1480"/>
      <c r="N1301" s="1480"/>
      <c r="O1301" s="1477"/>
      <c r="P1301" s="1477"/>
      <c r="Q1301" s="1477"/>
      <c r="R1301" s="1480" t="s">
        <v>857</v>
      </c>
      <c r="S1301" s="1477"/>
      <c r="T1301" s="1477"/>
      <c r="U1301" s="1477"/>
      <c r="V1301" s="1477"/>
      <c r="W1301" s="1477"/>
      <c r="X1301" s="1477"/>
      <c r="Y1301" s="1477"/>
      <c r="Z1301" s="1477"/>
    </row>
    <row r="1302" spans="1:26" hidden="1" x14ac:dyDescent="0.25">
      <c r="A1302" s="1108" t="s">
        <v>1405</v>
      </c>
      <c r="B1302" s="1427" t="str">
        <f>IFERROR(_xlfn.CONCAT("K",('Configurable Tab'!$C$3+6)),"")</f>
        <v>K18</v>
      </c>
      <c r="C1302" s="1427" t="str">
        <f>IFERROR(_xlfn.CONCAT("K",('Configurable Tab'!$C$3+10)),"")</f>
        <v>K22</v>
      </c>
      <c r="D1302" s="1480" t="s">
        <v>1365</v>
      </c>
      <c r="E1302" s="867" t="s">
        <v>1806</v>
      </c>
      <c r="F1302" s="1480"/>
      <c r="G1302" s="1480"/>
      <c r="H1302" s="1480"/>
      <c r="I1302" s="1427" t="str">
        <f t="shared" si="217"/>
        <v>Rate % of Sales</v>
      </c>
      <c r="J1302" s="1480" t="str">
        <f t="shared" si="218"/>
        <v>F</v>
      </c>
      <c r="K1302" s="1480" t="str">
        <f t="shared" si="216"/>
        <v>Incentives</v>
      </c>
      <c r="L1302" s="1480"/>
      <c r="M1302" s="1480"/>
      <c r="N1302" s="1480"/>
      <c r="O1302" s="1477"/>
      <c r="P1302" s="1477"/>
      <c r="Q1302" s="1477"/>
      <c r="R1302" s="1480" t="s">
        <v>857</v>
      </c>
      <c r="S1302" s="1477"/>
      <c r="T1302" s="1477"/>
      <c r="U1302" s="1477"/>
      <c r="V1302" s="1477"/>
      <c r="W1302" s="1477"/>
      <c r="X1302" s="1477"/>
      <c r="Y1302" s="1477"/>
      <c r="Z1302" s="1477"/>
    </row>
    <row r="1303" spans="1:26" hidden="1" x14ac:dyDescent="0.25">
      <c r="A1303" s="1108" t="s">
        <v>1405</v>
      </c>
      <c r="B1303" s="1427" t="str">
        <f>IFERROR(_xlfn.CONCAT("K",('Configurable Tab'!$C$3+6)),"")</f>
        <v>K18</v>
      </c>
      <c r="C1303" s="1427" t="str">
        <f>IFERROR(_xlfn.CONCAT("K",('Configurable Tab'!$C$3+11)),"")</f>
        <v>K23</v>
      </c>
      <c r="D1303" s="1480" t="s">
        <v>1365</v>
      </c>
      <c r="E1303" s="867" t="s">
        <v>1806</v>
      </c>
      <c r="F1303" s="1480"/>
      <c r="G1303" s="1480"/>
      <c r="H1303" s="1480"/>
      <c r="I1303" s="1427" t="str">
        <f t="shared" si="217"/>
        <v>Rate % of Sales</v>
      </c>
      <c r="J1303" s="1480" t="str">
        <f t="shared" si="218"/>
        <v>F</v>
      </c>
      <c r="K1303" s="1480" t="str">
        <f t="shared" si="216"/>
        <v>Incentives</v>
      </c>
      <c r="L1303" s="1480"/>
      <c r="M1303" s="1480"/>
      <c r="N1303" s="1480"/>
      <c r="O1303" s="1477"/>
      <c r="P1303" s="1477"/>
      <c r="Q1303" s="1477"/>
      <c r="R1303" s="1480" t="s">
        <v>857</v>
      </c>
      <c r="S1303" s="1477"/>
      <c r="T1303" s="1477"/>
      <c r="U1303" s="1477"/>
      <c r="V1303" s="1477"/>
      <c r="W1303" s="1477"/>
      <c r="X1303" s="1477"/>
      <c r="Y1303" s="1477"/>
      <c r="Z1303" s="1477"/>
    </row>
    <row r="1304" spans="1:26" hidden="1" x14ac:dyDescent="0.25">
      <c r="A1304" s="929" t="s">
        <v>526</v>
      </c>
      <c r="B1304" s="1427" t="str">
        <f>IFERROR(_xlfn.CONCAT("D",('Configurable Tab'!$C$4+1)),"")</f>
        <v>D27</v>
      </c>
      <c r="C1304" s="1427" t="str">
        <f>IFERROR(_xlfn.CONCAT("E",('Configurable Tab'!$C$4+1)),"")</f>
        <v>E27</v>
      </c>
      <c r="D1304" s="1480" t="s">
        <v>1365</v>
      </c>
      <c r="E1304" s="867" t="s">
        <v>1806</v>
      </c>
      <c r="F1304" s="1480"/>
      <c r="G1304" s="1480"/>
      <c r="H1304" s="1480"/>
      <c r="I1304" s="1427" t="str">
        <f t="shared" si="217"/>
        <v>Offer this Incentive?</v>
      </c>
      <c r="J1304" s="1480" t="str">
        <f>$Q$1&amp;IF(T$1286=2,V1286,IF(T$1286=1,IF(T$1304&lt;&gt;0,U1304,IF(T$1322&lt;&gt;0,U1322,"")),IF(T$1304=2,V1304,IF(T$1304=1,IF(T$1322&lt;&gt;0,U1322,""),IF(T$1322=2,V1322,"")))))</f>
        <v>F</v>
      </c>
      <c r="K1304" s="1480" t="str">
        <f t="shared" si="216"/>
        <v>Incentives</v>
      </c>
      <c r="L1304" s="1480"/>
      <c r="M1304" s="1480"/>
      <c r="N1304" s="1480"/>
      <c r="O1304" s="1477" t="s">
        <v>1810</v>
      </c>
      <c r="P1304" s="1477"/>
      <c r="Q1304" s="1427" t="str">
        <f>IFERROR(_xlfn.CONCAT("C",('Configurable Tab'!$C4+1)),"")</f>
        <v>C27</v>
      </c>
      <c r="R1304" s="1480" t="s">
        <v>857</v>
      </c>
      <c r="S1304" s="1480" t="s">
        <v>1811</v>
      </c>
      <c r="T1304" s="1480">
        <f>IF(Q$570="Yes",IF(Q$589="Yes",2,1),0)</f>
        <v>1</v>
      </c>
      <c r="U1304" s="1480">
        <f>IF(Q$570="Yes",M570,"")</f>
        <v>553</v>
      </c>
      <c r="V1304" s="1480" t="str">
        <f>IF(Q$589="Yes",M589,"")</f>
        <v/>
      </c>
      <c r="W1304" s="1477"/>
      <c r="X1304" s="1477"/>
      <c r="Y1304" s="1477"/>
      <c r="Z1304" s="1477"/>
    </row>
    <row r="1305" spans="1:26" hidden="1" x14ac:dyDescent="0.25">
      <c r="A1305" s="924" t="s">
        <v>1399</v>
      </c>
      <c r="B1305" s="1427" t="str">
        <f>IFERROR(_xlfn.CONCAT("D",('Configurable Tab'!$C$4+2)),"")</f>
        <v>D28</v>
      </c>
      <c r="C1305" s="1427" t="str">
        <f>IFERROR(_xlfn.CONCAT("E",('Configurable Tab'!$C$4+2)),"")</f>
        <v>E28</v>
      </c>
      <c r="D1305" s="1480" t="s">
        <v>1365</v>
      </c>
      <c r="E1305" s="867" t="s">
        <v>1806</v>
      </c>
      <c r="F1305" s="1480"/>
      <c r="G1305" s="1480"/>
      <c r="H1305" s="1480"/>
      <c r="I1305" s="1427" t="str">
        <f t="shared" si="217"/>
        <v>Incentive Type</v>
      </c>
      <c r="J1305" s="1480" t="str">
        <f t="shared" ref="J1305:J1321" si="219">$Q$1&amp;IF(T$1286=2,V1287,IF(T$1286=1,IF(T$1304&lt;&gt;0,U1305,IF(T$1322&lt;&gt;0,U1323,"")),IF(T$1304=2,V1305,IF(T$1304=1,IF(T$1322&lt;&gt;0,U1323,""),IF(T$1322=2,V1323,"")))))</f>
        <v>F</v>
      </c>
      <c r="K1305" s="1480" t="str">
        <f t="shared" si="216"/>
        <v>Incentives</v>
      </c>
      <c r="L1305" s="1480"/>
      <c r="M1305" s="1480"/>
      <c r="N1305" s="1480"/>
      <c r="O1305" s="1477"/>
      <c r="P1305" s="1477"/>
      <c r="Q1305" s="1477"/>
      <c r="R1305" s="1480" t="s">
        <v>857</v>
      </c>
      <c r="S1305" s="1480" t="s">
        <v>1811</v>
      </c>
      <c r="T1305" s="1477"/>
      <c r="U1305" s="1480">
        <f>IF(Q$570="Yes",M571,"")</f>
        <v>554</v>
      </c>
      <c r="V1305" s="1480" t="str">
        <f>IF(Q$589="Yes",M590,"")</f>
        <v/>
      </c>
      <c r="W1305" s="1477"/>
      <c r="X1305" s="1477"/>
      <c r="Y1305" s="1477"/>
      <c r="Z1305" s="1477"/>
    </row>
    <row r="1306" spans="1:26" hidden="1" x14ac:dyDescent="0.25">
      <c r="A1306" s="924" t="s">
        <v>1401</v>
      </c>
      <c r="B1306" s="1427" t="str">
        <f>IFERROR(_xlfn.CONCAT("D",('Configurable Tab'!$C$4+4)),"")</f>
        <v>D30</v>
      </c>
      <c r="C1306" s="1427" t="str">
        <f>IFERROR(_xlfn.CONCAT("E",('Configurable Tab'!$C$4+4)),"")</f>
        <v>E30</v>
      </c>
      <c r="D1306" s="1480" t="s">
        <v>1365</v>
      </c>
      <c r="E1306" s="867" t="s">
        <v>1806</v>
      </c>
      <c r="F1306" s="1480"/>
      <c r="G1306" s="1480"/>
      <c r="H1306" s="1480"/>
      <c r="I1306" s="1427" t="str">
        <f t="shared" si="217"/>
        <v>Incentive Effective Date</v>
      </c>
      <c r="J1306" s="1480" t="str">
        <f t="shared" si="219"/>
        <v>F</v>
      </c>
      <c r="K1306" s="1480" t="str">
        <f t="shared" si="216"/>
        <v>Incentives</v>
      </c>
      <c r="L1306" s="1480"/>
      <c r="M1306" s="1480"/>
      <c r="N1306" s="1480"/>
      <c r="O1306" s="1477"/>
      <c r="P1306" s="1477"/>
      <c r="Q1306" s="1477"/>
      <c r="R1306" s="1480" t="s">
        <v>857</v>
      </c>
      <c r="S1306" s="1480" t="s">
        <v>1811</v>
      </c>
      <c r="T1306" s="1477"/>
      <c r="U1306" s="1480">
        <f>IF(Q$570="Yes",M579,"")</f>
        <v>562</v>
      </c>
      <c r="V1306" s="1480" t="str">
        <f>IF(Q$589="Yes",M598,"")</f>
        <v/>
      </c>
      <c r="W1306" s="1477"/>
      <c r="X1306" s="1477"/>
      <c r="Y1306" s="1477"/>
      <c r="Z1306" s="1477"/>
    </row>
    <row r="1307" spans="1:26" hidden="1" x14ac:dyDescent="0.25">
      <c r="A1307" s="924" t="s">
        <v>1402</v>
      </c>
      <c r="B1307" s="1427" t="str">
        <f>IFERROR(_xlfn.CONCAT("D",('Configurable Tab'!$C$4+5)),"")</f>
        <v>D31</v>
      </c>
      <c r="C1307" s="1427" t="str">
        <f>IFERROR(_xlfn.CONCAT("E",('Configurable Tab'!$C$4+5)),"")</f>
        <v>E31</v>
      </c>
      <c r="D1307" s="1480" t="s">
        <v>1365</v>
      </c>
      <c r="E1307" s="867" t="s">
        <v>1806</v>
      </c>
      <c r="F1307" s="1480"/>
      <c r="G1307" s="1480"/>
      <c r="H1307" s="1480"/>
      <c r="I1307" s="1427" t="str">
        <f t="shared" si="217"/>
        <v>Incentive Expiration Date</v>
      </c>
      <c r="J1307" s="1480" t="str">
        <f t="shared" si="219"/>
        <v>F</v>
      </c>
      <c r="K1307" s="1480" t="str">
        <f t="shared" si="216"/>
        <v>Incentives</v>
      </c>
      <c r="L1307" s="1480"/>
      <c r="M1307" s="1480"/>
      <c r="N1307" s="1480"/>
      <c r="O1307" s="1477"/>
      <c r="P1307" s="1477"/>
      <c r="Q1307" s="1477"/>
      <c r="R1307" s="1480" t="s">
        <v>857</v>
      </c>
      <c r="S1307" s="1480" t="s">
        <v>1811</v>
      </c>
      <c r="T1307" s="1477"/>
      <c r="U1307" s="1480">
        <f>IF(Q$570="Yes",M580,"")</f>
        <v>563</v>
      </c>
      <c r="V1307" s="1480" t="str">
        <f>IF(Q$589="Yes",M599,"")</f>
        <v/>
      </c>
      <c r="W1307" s="1477"/>
      <c r="X1307" s="1477"/>
      <c r="Y1307" s="1477"/>
      <c r="Z1307" s="1477"/>
    </row>
    <row r="1308" spans="1:26" hidden="1" x14ac:dyDescent="0.25">
      <c r="A1308" s="924" t="s">
        <v>1396</v>
      </c>
      <c r="B1308" s="1427" t="str">
        <f>IFERROR(_xlfn.CONCAT("G",('Configurable Tab'!$C$4+1)),"")</f>
        <v>G27</v>
      </c>
      <c r="C1308" s="1427" t="str">
        <f>IFERROR(_xlfn.CONCAT("G",('Configurable Tab'!$C$4+2)),"")</f>
        <v>G28</v>
      </c>
      <c r="D1308" s="1480" t="s">
        <v>1365</v>
      </c>
      <c r="E1308" s="867" t="s">
        <v>1806</v>
      </c>
      <c r="F1308" s="1480"/>
      <c r="G1308" s="1480"/>
      <c r="H1308" s="1480"/>
      <c r="I1308" s="1427" t="str">
        <f t="shared" si="217"/>
        <v>Incentive Period</v>
      </c>
      <c r="J1308" s="1480" t="str">
        <f t="shared" si="219"/>
        <v>F</v>
      </c>
      <c r="K1308" s="1480" t="str">
        <f t="shared" si="216"/>
        <v>Incentives</v>
      </c>
      <c r="L1308" s="1480"/>
      <c r="M1308" s="1480"/>
      <c r="N1308" s="1480"/>
      <c r="O1308" s="1477"/>
      <c r="P1308" s="1477"/>
      <c r="Q1308" s="1477"/>
      <c r="R1308" s="1480" t="s">
        <v>857</v>
      </c>
      <c r="S1308" s="1480" t="s">
        <v>1811</v>
      </c>
      <c r="T1308" s="1477"/>
      <c r="U1308" s="1480">
        <f>IF(Q$570="Yes",M572,"")</f>
        <v>555</v>
      </c>
      <c r="V1308" s="1480" t="str">
        <f>IF(Q$589="Yes",M591,"")</f>
        <v/>
      </c>
      <c r="W1308" s="1477"/>
      <c r="X1308" s="1477"/>
      <c r="Y1308" s="1477"/>
      <c r="Z1308" s="1477"/>
    </row>
    <row r="1309" spans="1:26" hidden="1" x14ac:dyDescent="0.25">
      <c r="A1309" s="924" t="s">
        <v>1397</v>
      </c>
      <c r="B1309" s="1427" t="str">
        <f>IFERROR(_xlfn.CONCAT("I",('Configurable Tab'!$C$4+1)),"")</f>
        <v>I27</v>
      </c>
      <c r="C1309" s="1427" t="str">
        <f>IFERROR(_xlfn.CONCAT("I",('Configurable Tab'!$C$4+2)),"")</f>
        <v>I28</v>
      </c>
      <c r="D1309" s="1480" t="s">
        <v>1365</v>
      </c>
      <c r="E1309" s="867" t="s">
        <v>1806</v>
      </c>
      <c r="F1309" s="1480"/>
      <c r="G1309" s="1480"/>
      <c r="H1309" s="1480"/>
      <c r="I1309" s="1427" t="str">
        <f t="shared" si="217"/>
        <v>Payment Method</v>
      </c>
      <c r="J1309" s="1480" t="str">
        <f t="shared" si="219"/>
        <v>F</v>
      </c>
      <c r="K1309" s="1480" t="str">
        <f t="shared" si="216"/>
        <v>Incentives</v>
      </c>
      <c r="L1309" s="1480"/>
      <c r="M1309" s="1480"/>
      <c r="N1309" s="1480"/>
      <c r="O1309" s="1477"/>
      <c r="P1309" s="1477"/>
      <c r="Q1309" s="1477"/>
      <c r="R1309" s="1480" t="s">
        <v>857</v>
      </c>
      <c r="S1309" s="1480" t="s">
        <v>1811</v>
      </c>
      <c r="T1309" s="1477"/>
      <c r="U1309" s="1480">
        <f>IF(Q$570="Yes",M573,"")</f>
        <v>556</v>
      </c>
      <c r="V1309" s="1480" t="str">
        <f>IF(Q$589="Yes",M592,"")</f>
        <v/>
      </c>
      <c r="W1309" s="1477"/>
      <c r="X1309" s="1477"/>
      <c r="Y1309" s="1477"/>
      <c r="Z1309" s="1477"/>
    </row>
    <row r="1310" spans="1:26" hidden="1" x14ac:dyDescent="0.25">
      <c r="A1310" s="924" t="s">
        <v>839</v>
      </c>
      <c r="B1310" s="1427" t="str">
        <f>IFERROR(_xlfn.CONCAT("K",('Configurable Tab'!$C$4+1)),"")</f>
        <v>K27</v>
      </c>
      <c r="C1310" s="1427" t="str">
        <f>IFERROR(_xlfn.CONCAT("K",('Configurable Tab'!$C$4+2)),"")</f>
        <v>K28</v>
      </c>
      <c r="D1310" s="1480" t="s">
        <v>1365</v>
      </c>
      <c r="E1310" s="867" t="s">
        <v>1806</v>
      </c>
      <c r="F1310" s="1480"/>
      <c r="G1310" s="1480"/>
      <c r="H1310" s="1480"/>
      <c r="I1310" s="1427" t="str">
        <f t="shared" si="217"/>
        <v>Paid to:</v>
      </c>
      <c r="J1310" s="1480" t="str">
        <f t="shared" si="219"/>
        <v>F</v>
      </c>
      <c r="K1310" s="1480" t="str">
        <f t="shared" si="216"/>
        <v>Incentives</v>
      </c>
      <c r="L1310" s="1480"/>
      <c r="M1310" s="1480"/>
      <c r="N1310" s="1480"/>
      <c r="O1310" s="1477"/>
      <c r="P1310" s="1477"/>
      <c r="Q1310" s="1477"/>
      <c r="R1310" s="1480" t="s">
        <v>857</v>
      </c>
      <c r="S1310" s="1480" t="s">
        <v>1811</v>
      </c>
      <c r="T1310" s="1477"/>
      <c r="U1310" s="1480">
        <f>IF(Q$570="Yes",M574,"")</f>
        <v>557</v>
      </c>
      <c r="V1310" s="1480" t="str">
        <f>IF(Q$589="Yes",M593,"")</f>
        <v/>
      </c>
      <c r="W1310" s="1477"/>
      <c r="X1310" s="1477"/>
      <c r="Y1310" s="1477"/>
      <c r="Z1310" s="1477"/>
    </row>
    <row r="1311" spans="1:26" hidden="1" x14ac:dyDescent="0.25">
      <c r="A1311" s="924" t="s">
        <v>1398</v>
      </c>
      <c r="B1311" s="1427" t="str">
        <f>IFERROR(_xlfn.CONCAT("M",('Configurable Tab'!$C$4+1)),"")</f>
        <v>M27</v>
      </c>
      <c r="C1311" s="1427" t="str">
        <f>IFERROR(_xlfn.CONCAT("M",('Configurable Tab'!$C$4+2)),"")</f>
        <v>M28</v>
      </c>
      <c r="D1311" s="1480" t="s">
        <v>1365</v>
      </c>
      <c r="E1311" s="867" t="s">
        <v>1806</v>
      </c>
      <c r="F1311" s="1480"/>
      <c r="G1311" s="1480"/>
      <c r="H1311" s="1480"/>
      <c r="I1311" s="1427" t="str">
        <f t="shared" si="217"/>
        <v>AP/AR Vendor Number</v>
      </c>
      <c r="J1311" s="1480" t="str">
        <f t="shared" si="219"/>
        <v>F</v>
      </c>
      <c r="K1311" s="1480" t="str">
        <f t="shared" si="216"/>
        <v>Incentives</v>
      </c>
      <c r="L1311" s="1480"/>
      <c r="M1311" s="1480"/>
      <c r="N1311" s="1480"/>
      <c r="O1311" s="1477"/>
      <c r="P1311" s="1477"/>
      <c r="Q1311" s="1477"/>
      <c r="R1311" s="1480" t="s">
        <v>857</v>
      </c>
      <c r="S1311" s="1480" t="s">
        <v>1811</v>
      </c>
      <c r="T1311" s="1477"/>
      <c r="U1311" s="1480">
        <f>IF(Q$570="Yes",M575,"")</f>
        <v>558</v>
      </c>
      <c r="V1311" s="1480" t="str">
        <f>IF(Q$589="Yes",M594,"")</f>
        <v/>
      </c>
      <c r="W1311" s="1477"/>
      <c r="X1311" s="1477"/>
      <c r="Y1311" s="1477"/>
      <c r="Z1311" s="1477"/>
    </row>
    <row r="1312" spans="1:26" hidden="1" x14ac:dyDescent="0.25">
      <c r="A1312" s="924" t="s">
        <v>1403</v>
      </c>
      <c r="B1312" s="1427" t="str">
        <f>IFERROR(_xlfn.CONCAT("G",('Configurable Tab'!$C$4+6)),"")</f>
        <v>G32</v>
      </c>
      <c r="C1312" s="1427" t="str">
        <f>IFERROR(_xlfn.CONCAT("G",('Configurable Tab'!$C$4+7)),"")</f>
        <v>G33</v>
      </c>
      <c r="D1312" s="1480" t="s">
        <v>1365</v>
      </c>
      <c r="E1312" s="867" t="s">
        <v>1806</v>
      </c>
      <c r="F1312" s="1480"/>
      <c r="G1312" s="1480"/>
      <c r="H1312" s="1480"/>
      <c r="I1312" s="1427" t="str">
        <f t="shared" si="217"/>
        <v>Minimum Units</v>
      </c>
      <c r="J1312" s="1480" t="str">
        <f t="shared" si="219"/>
        <v>F</v>
      </c>
      <c r="K1312" s="1480" t="str">
        <f t="shared" si="216"/>
        <v>Incentives</v>
      </c>
      <c r="L1312" s="1480"/>
      <c r="M1312" s="1480"/>
      <c r="N1312" s="1480"/>
      <c r="O1312" s="1477"/>
      <c r="P1312" s="1477"/>
      <c r="Q1312" s="1477"/>
      <c r="R1312" s="1480" t="s">
        <v>857</v>
      </c>
      <c r="S1312" s="1480" t="s">
        <v>1811</v>
      </c>
      <c r="T1312" s="1477"/>
      <c r="U1312" s="1480">
        <f>IF(Q$570="Yes",M584,"")</f>
        <v>567</v>
      </c>
      <c r="V1312" s="1480" t="str">
        <f>IF(Q$589="Yes",M603,"")</f>
        <v/>
      </c>
      <c r="W1312" s="1477"/>
      <c r="X1312" s="1477"/>
      <c r="Y1312" s="1477"/>
      <c r="Z1312" s="1477"/>
    </row>
    <row r="1313" spans="1:26" hidden="1" x14ac:dyDescent="0.25">
      <c r="A1313" s="924" t="s">
        <v>1403</v>
      </c>
      <c r="B1313" s="1427" t="str">
        <f>IFERROR(_xlfn.CONCAT("G",('Configurable Tab'!$C$4+6)),"")</f>
        <v>G32</v>
      </c>
      <c r="C1313" s="1427" t="str">
        <f>IFERROR(_xlfn.CONCAT("G",('Configurable Tab'!$C$4+8)),"")</f>
        <v>G34</v>
      </c>
      <c r="D1313" s="1480" t="s">
        <v>1365</v>
      </c>
      <c r="E1313" s="867" t="s">
        <v>1806</v>
      </c>
      <c r="F1313" s="1480"/>
      <c r="G1313" s="1480"/>
      <c r="H1313" s="1480"/>
      <c r="I1313" s="1427" t="str">
        <f t="shared" si="217"/>
        <v>Minimum Units</v>
      </c>
      <c r="J1313" s="1480" t="str">
        <f t="shared" si="219"/>
        <v>F</v>
      </c>
      <c r="K1313" s="1480" t="str">
        <f t="shared" si="216"/>
        <v>Incentives</v>
      </c>
      <c r="L1313" s="1480"/>
      <c r="M1313" s="1480"/>
      <c r="N1313" s="1480"/>
      <c r="O1313" s="1477"/>
      <c r="P1313" s="1477"/>
      <c r="Q1313" s="1477"/>
      <c r="R1313" s="1480" t="s">
        <v>857</v>
      </c>
      <c r="S1313" s="1477"/>
      <c r="T1313" s="1477"/>
      <c r="U1313" s="1477"/>
      <c r="V1313" s="1477"/>
      <c r="W1313" s="1477"/>
      <c r="X1313" s="1477"/>
      <c r="Y1313" s="1477"/>
      <c r="Z1313" s="1477"/>
    </row>
    <row r="1314" spans="1:26" hidden="1" x14ac:dyDescent="0.25">
      <c r="A1314" s="924" t="s">
        <v>1403</v>
      </c>
      <c r="B1314" s="1427" t="str">
        <f>IFERROR(_xlfn.CONCAT("G",('Configurable Tab'!$C$4+6)),"")</f>
        <v>G32</v>
      </c>
      <c r="C1314" s="1427" t="str">
        <f>IFERROR(_xlfn.CONCAT("G",('Configurable Tab'!$C$4+9)),"")</f>
        <v>G35</v>
      </c>
      <c r="D1314" s="1480" t="s">
        <v>1365</v>
      </c>
      <c r="E1314" s="867" t="s">
        <v>1806</v>
      </c>
      <c r="F1314" s="1480"/>
      <c r="G1314" s="1480"/>
      <c r="H1314" s="1480"/>
      <c r="I1314" s="1427" t="str">
        <f t="shared" si="217"/>
        <v>Minimum Units</v>
      </c>
      <c r="J1314" s="1480" t="str">
        <f t="shared" si="219"/>
        <v>F</v>
      </c>
      <c r="K1314" s="1480" t="str">
        <f t="shared" si="216"/>
        <v>Incentives</v>
      </c>
      <c r="L1314" s="1480"/>
      <c r="M1314" s="1480"/>
      <c r="N1314" s="1480"/>
      <c r="O1314" s="1477"/>
      <c r="P1314" s="1477"/>
      <c r="Q1314" s="1477"/>
      <c r="R1314" s="1480" t="s">
        <v>857</v>
      </c>
      <c r="S1314" s="1477"/>
      <c r="T1314" s="1477"/>
      <c r="U1314" s="1477"/>
      <c r="V1314" s="1477"/>
      <c r="W1314" s="1477"/>
      <c r="X1314" s="1477"/>
      <c r="Y1314" s="1477"/>
      <c r="Z1314" s="1477"/>
    </row>
    <row r="1315" spans="1:26" hidden="1" x14ac:dyDescent="0.25">
      <c r="A1315" s="924" t="s">
        <v>1403</v>
      </c>
      <c r="B1315" s="1427" t="str">
        <f>IFERROR(_xlfn.CONCAT("G",('Configurable Tab'!$C$4+6)),"")</f>
        <v>G32</v>
      </c>
      <c r="C1315" s="1427" t="str">
        <f>IFERROR(_xlfn.CONCAT("G",('Configurable Tab'!$C$4+10)),"")</f>
        <v>G36</v>
      </c>
      <c r="D1315" s="1480" t="s">
        <v>1365</v>
      </c>
      <c r="E1315" s="867" t="s">
        <v>1806</v>
      </c>
      <c r="F1315" s="1480"/>
      <c r="G1315" s="1480"/>
      <c r="H1315" s="1480"/>
      <c r="I1315" s="1427" t="str">
        <f t="shared" si="217"/>
        <v>Minimum Units</v>
      </c>
      <c r="J1315" s="1480" t="str">
        <f t="shared" si="219"/>
        <v>F</v>
      </c>
      <c r="K1315" s="1480" t="str">
        <f t="shared" si="216"/>
        <v>Incentives</v>
      </c>
      <c r="L1315" s="1480"/>
      <c r="M1315" s="1480"/>
      <c r="N1315" s="1480"/>
      <c r="O1315" s="1477"/>
      <c r="P1315" s="1477"/>
      <c r="Q1315" s="1477"/>
      <c r="R1315" s="1480" t="s">
        <v>857</v>
      </c>
      <c r="S1315" s="1477"/>
      <c r="T1315" s="1477"/>
      <c r="U1315" s="1477"/>
      <c r="V1315" s="1477"/>
      <c r="W1315" s="1477"/>
      <c r="X1315" s="1477"/>
      <c r="Y1315" s="1477"/>
      <c r="Z1315" s="1477"/>
    </row>
    <row r="1316" spans="1:26" hidden="1" x14ac:dyDescent="0.25">
      <c r="A1316" s="924" t="s">
        <v>1403</v>
      </c>
      <c r="B1316" s="1427" t="str">
        <f>IFERROR(_xlfn.CONCAT("G",('Configurable Tab'!$C$4+6)),"")</f>
        <v>G32</v>
      </c>
      <c r="C1316" s="1427" t="str">
        <f>IFERROR(_xlfn.CONCAT("G",('Configurable Tab'!$C$4+11)),"")</f>
        <v>G37</v>
      </c>
      <c r="D1316" s="1480" t="s">
        <v>1365</v>
      </c>
      <c r="E1316" s="867" t="s">
        <v>1806</v>
      </c>
      <c r="F1316" s="1480"/>
      <c r="G1316" s="1480"/>
      <c r="H1316" s="1480"/>
      <c r="I1316" s="1427" t="str">
        <f t="shared" si="217"/>
        <v>Minimum Units</v>
      </c>
      <c r="J1316" s="1480" t="str">
        <f t="shared" si="219"/>
        <v>F</v>
      </c>
      <c r="K1316" s="1480" t="str">
        <f t="shared" si="216"/>
        <v>Incentives</v>
      </c>
      <c r="L1316" s="1480"/>
      <c r="M1316" s="1480"/>
      <c r="N1316" s="1480"/>
      <c r="O1316" s="1477"/>
      <c r="P1316" s="1477"/>
      <c r="Q1316" s="1477"/>
      <c r="R1316" s="1480" t="s">
        <v>857</v>
      </c>
      <c r="S1316" s="1477"/>
      <c r="T1316" s="1477"/>
      <c r="U1316" s="1477"/>
      <c r="V1316" s="1477"/>
      <c r="W1316" s="1477"/>
      <c r="X1316" s="1477"/>
      <c r="Y1316" s="1477"/>
      <c r="Z1316" s="1477"/>
    </row>
    <row r="1317" spans="1:26" hidden="1" x14ac:dyDescent="0.25">
      <c r="A1317" s="924" t="s">
        <v>1405</v>
      </c>
      <c r="B1317" s="1427" t="str">
        <f>IFERROR(_xlfn.CONCAT("K",('Configurable Tab'!$C$4+6)),"")</f>
        <v>K32</v>
      </c>
      <c r="C1317" s="1427" t="str">
        <f>IFERROR(_xlfn.CONCAT("K",('Configurable Tab'!$C$4+7)),"")</f>
        <v>K33</v>
      </c>
      <c r="D1317" s="1480" t="s">
        <v>1365</v>
      </c>
      <c r="E1317" s="867" t="s">
        <v>1806</v>
      </c>
      <c r="F1317" s="1480"/>
      <c r="G1317" s="1480"/>
      <c r="H1317" s="1480"/>
      <c r="I1317" s="1427" t="str">
        <f t="shared" si="217"/>
        <v>Rate % of Sales</v>
      </c>
      <c r="J1317" s="1480" t="str">
        <f t="shared" si="219"/>
        <v>F</v>
      </c>
      <c r="K1317" s="1480" t="str">
        <f t="shared" si="216"/>
        <v>Incentives</v>
      </c>
      <c r="L1317" s="1480"/>
      <c r="M1317" s="1480"/>
      <c r="N1317" s="1480"/>
      <c r="O1317" s="1477"/>
      <c r="P1317" s="1477"/>
      <c r="Q1317" s="1477"/>
      <c r="R1317" s="1480" t="s">
        <v>857</v>
      </c>
      <c r="S1317" s="1480" t="s">
        <v>1811</v>
      </c>
      <c r="T1317" s="1477"/>
      <c r="U1317" s="1480">
        <f>IF(Q$570="Yes",M586,"")</f>
        <v>569</v>
      </c>
      <c r="V1317" s="1480" t="str">
        <f>IF(Q$589="Yes",M605,"")</f>
        <v/>
      </c>
      <c r="W1317" s="1477"/>
      <c r="X1317" s="1477"/>
      <c r="Y1317" s="1477"/>
      <c r="Z1317" s="1477"/>
    </row>
    <row r="1318" spans="1:26" hidden="1" x14ac:dyDescent="0.25">
      <c r="A1318" s="924" t="s">
        <v>1405</v>
      </c>
      <c r="B1318" s="1427" t="str">
        <f>IFERROR(_xlfn.CONCAT("K",('Configurable Tab'!$C$4+6)),"")</f>
        <v>K32</v>
      </c>
      <c r="C1318" s="1427" t="str">
        <f>IFERROR(_xlfn.CONCAT("K",('Configurable Tab'!$C$4+8)),"")</f>
        <v>K34</v>
      </c>
      <c r="D1318" s="1480" t="s">
        <v>1365</v>
      </c>
      <c r="E1318" s="867" t="s">
        <v>1806</v>
      </c>
      <c r="F1318" s="1480"/>
      <c r="G1318" s="1480"/>
      <c r="H1318" s="1480"/>
      <c r="I1318" s="1427" t="str">
        <f t="shared" si="217"/>
        <v>Rate % of Sales</v>
      </c>
      <c r="J1318" s="1480" t="str">
        <f t="shared" si="219"/>
        <v>F</v>
      </c>
      <c r="K1318" s="1480" t="str">
        <f t="shared" si="216"/>
        <v>Incentives</v>
      </c>
      <c r="L1318" s="1480"/>
      <c r="M1318" s="1480"/>
      <c r="N1318" s="1480"/>
      <c r="O1318" s="1477"/>
      <c r="P1318" s="1477"/>
      <c r="Q1318" s="1477"/>
      <c r="R1318" s="1480" t="s">
        <v>857</v>
      </c>
      <c r="S1318" s="1477"/>
      <c r="T1318" s="1477"/>
      <c r="U1318" s="1477"/>
      <c r="V1318" s="1477"/>
      <c r="W1318" s="1477"/>
      <c r="X1318" s="1477"/>
      <c r="Y1318" s="1477"/>
      <c r="Z1318" s="1477"/>
    </row>
    <row r="1319" spans="1:26" hidden="1" x14ac:dyDescent="0.25">
      <c r="A1319" s="924" t="s">
        <v>1405</v>
      </c>
      <c r="B1319" s="1427" t="str">
        <f>IFERROR(_xlfn.CONCAT("K",('Configurable Tab'!$C$4+6)),"")</f>
        <v>K32</v>
      </c>
      <c r="C1319" s="1427" t="str">
        <f>IFERROR(_xlfn.CONCAT("K",('Configurable Tab'!$C$4+9)),"")</f>
        <v>K35</v>
      </c>
      <c r="D1319" s="1480" t="s">
        <v>1365</v>
      </c>
      <c r="E1319" s="867" t="s">
        <v>1806</v>
      </c>
      <c r="F1319" s="1480"/>
      <c r="G1319" s="1480"/>
      <c r="H1319" s="1480"/>
      <c r="I1319" s="1427" t="str">
        <f t="shared" si="217"/>
        <v>Rate % of Sales</v>
      </c>
      <c r="J1319" s="1480" t="str">
        <f t="shared" si="219"/>
        <v>F</v>
      </c>
      <c r="K1319" s="1480" t="str">
        <f t="shared" si="216"/>
        <v>Incentives</v>
      </c>
      <c r="L1319" s="1480"/>
      <c r="M1319" s="1480"/>
      <c r="N1319" s="1480"/>
      <c r="O1319" s="1477"/>
      <c r="P1319" s="1477"/>
      <c r="Q1319" s="1477"/>
      <c r="R1319" s="1480" t="s">
        <v>857</v>
      </c>
      <c r="S1319" s="1477"/>
      <c r="T1319" s="1477"/>
      <c r="U1319" s="1477"/>
      <c r="V1319" s="1477"/>
      <c r="W1319" s="1477"/>
      <c r="X1319" s="1477"/>
      <c r="Y1319" s="1477"/>
      <c r="Z1319" s="1477"/>
    </row>
    <row r="1320" spans="1:26" hidden="1" x14ac:dyDescent="0.25">
      <c r="A1320" s="924" t="s">
        <v>1405</v>
      </c>
      <c r="B1320" s="1427" t="str">
        <f>IFERROR(_xlfn.CONCAT("K",('Configurable Tab'!$C$4+6)),"")</f>
        <v>K32</v>
      </c>
      <c r="C1320" s="1427" t="str">
        <f>IFERROR(_xlfn.CONCAT("K",('Configurable Tab'!$C$4+10)),"")</f>
        <v>K36</v>
      </c>
      <c r="D1320" s="1480" t="s">
        <v>1365</v>
      </c>
      <c r="E1320" s="867" t="s">
        <v>1806</v>
      </c>
      <c r="F1320" s="1480"/>
      <c r="G1320" s="1480"/>
      <c r="H1320" s="1480"/>
      <c r="I1320" s="1427" t="str">
        <f t="shared" si="217"/>
        <v>Rate % of Sales</v>
      </c>
      <c r="J1320" s="1480" t="str">
        <f t="shared" si="219"/>
        <v>F</v>
      </c>
      <c r="K1320" s="1480" t="str">
        <f t="shared" si="216"/>
        <v>Incentives</v>
      </c>
      <c r="L1320" s="1480"/>
      <c r="M1320" s="1480"/>
      <c r="N1320" s="1480"/>
      <c r="O1320" s="1477"/>
      <c r="P1320" s="1477"/>
      <c r="Q1320" s="1477"/>
      <c r="R1320" s="1480" t="s">
        <v>857</v>
      </c>
      <c r="S1320" s="1477"/>
      <c r="T1320" s="1477"/>
      <c r="U1320" s="1477"/>
      <c r="V1320" s="1477"/>
      <c r="W1320" s="1477"/>
      <c r="X1320" s="1477"/>
      <c r="Y1320" s="1477"/>
      <c r="Z1320" s="1477"/>
    </row>
    <row r="1321" spans="1:26" hidden="1" x14ac:dyDescent="0.25">
      <c r="A1321" s="924" t="s">
        <v>1405</v>
      </c>
      <c r="B1321" s="1427" t="str">
        <f>IFERROR(_xlfn.CONCAT("K",('Configurable Tab'!$C$4+6)),"")</f>
        <v>K32</v>
      </c>
      <c r="C1321" s="1427" t="str">
        <f>IFERROR(_xlfn.CONCAT("K",('Configurable Tab'!$C$4+11)),"")</f>
        <v>K37</v>
      </c>
      <c r="D1321" s="1480" t="s">
        <v>1365</v>
      </c>
      <c r="E1321" s="867" t="s">
        <v>1806</v>
      </c>
      <c r="F1321" s="1480"/>
      <c r="G1321" s="1480"/>
      <c r="H1321" s="1480"/>
      <c r="I1321" s="1427" t="str">
        <f t="shared" si="217"/>
        <v>Rate % of Sales</v>
      </c>
      <c r="J1321" s="1480" t="str">
        <f t="shared" si="219"/>
        <v>F</v>
      </c>
      <c r="K1321" s="1480" t="str">
        <f t="shared" si="216"/>
        <v>Incentives</v>
      </c>
      <c r="L1321" s="1480"/>
      <c r="M1321" s="1480"/>
      <c r="N1321" s="1480"/>
      <c r="O1321" s="1477"/>
      <c r="P1321" s="1477"/>
      <c r="Q1321" s="1477"/>
      <c r="R1321" s="1480" t="s">
        <v>857</v>
      </c>
      <c r="S1321" s="1477"/>
      <c r="T1321" s="1477"/>
      <c r="U1321" s="1477"/>
      <c r="V1321" s="1477"/>
      <c r="W1321" s="1477"/>
      <c r="X1321" s="1477"/>
      <c r="Y1321" s="1477"/>
      <c r="Z1321" s="1477"/>
    </row>
    <row r="1322" spans="1:26" hidden="1" x14ac:dyDescent="0.25">
      <c r="A1322" s="1107" t="s">
        <v>526</v>
      </c>
      <c r="B1322" s="1427" t="str">
        <f>IFERROR(_xlfn.CONCAT("D",('Configurable Tab'!$C$5+1)),"")</f>
        <v>D41</v>
      </c>
      <c r="C1322" s="1427" t="str">
        <f>IFERROR(_xlfn.CONCAT("E",('Configurable Tab'!$C$5+1)),"")</f>
        <v>E41</v>
      </c>
      <c r="D1322" s="1480" t="s">
        <v>1365</v>
      </c>
      <c r="E1322" s="867" t="s">
        <v>1806</v>
      </c>
      <c r="F1322" s="1480"/>
      <c r="G1322" s="1480"/>
      <c r="H1322" s="1480"/>
      <c r="I1322" s="1427" t="str">
        <f t="shared" si="217"/>
        <v>Offer this Incentive?</v>
      </c>
      <c r="J1322" s="1480" t="str">
        <f>$Q$1&amp;IF(T$1286 = 2,IF(AND(T$1304=1,T$1304&lt;&gt;0),U1304,IF(AND(T$1322=1,T$1322&lt;&gt;0),U1322,"")),IF(T$1286=1,IF(T$1304=2,V1304,IF(T$1304=1,IF(AND(T$1322=1,T$1322&lt;&gt;0),U1322,""),IF(T$1322=2,V1322,""))),IF(T$1304=2,IF(AND(T$1322=1,T$1322&lt;&gt;0),U1322,""),IF(T$1304=1,IF(T$1322 = 2,V1322,""),""))))</f>
        <v>F</v>
      </c>
      <c r="K1322" s="1480" t="str">
        <f t="shared" si="216"/>
        <v>Incentives</v>
      </c>
      <c r="L1322" s="1480"/>
      <c r="M1322" s="1480"/>
      <c r="N1322" s="1480"/>
      <c r="O1322" s="1477" t="s">
        <v>1812</v>
      </c>
      <c r="P1322" s="1477"/>
      <c r="Q1322" s="1427" t="str">
        <f>IFERROR(_xlfn.CONCAT("C",('Configurable Tab'!$C5+1)),"")</f>
        <v>C41</v>
      </c>
      <c r="R1322" s="1480" t="s">
        <v>857</v>
      </c>
      <c r="S1322" s="1482" t="s">
        <v>1813</v>
      </c>
      <c r="T1322" s="1480">
        <f>IF(Q$608="Yes",IF(Q$639="Yes",2,1),0)</f>
        <v>0</v>
      </c>
      <c r="U1322" s="1480" t="str">
        <f>IF(Q$608="Yes",M608,"")</f>
        <v/>
      </c>
      <c r="V1322" s="1480" t="str">
        <f>IF(Q$639="Yes",M639,"")</f>
        <v/>
      </c>
      <c r="W1322" s="1477"/>
      <c r="X1322" s="1477"/>
      <c r="Y1322" s="1477"/>
      <c r="Z1322" s="1477"/>
    </row>
    <row r="1323" spans="1:26" hidden="1" x14ac:dyDescent="0.25">
      <c r="A1323" s="1108" t="s">
        <v>1399</v>
      </c>
      <c r="B1323" s="1427" t="str">
        <f>IFERROR(_xlfn.CONCAT("D",('Configurable Tab'!$C$5+2)),"")</f>
        <v>D42</v>
      </c>
      <c r="C1323" s="1427" t="str">
        <f>IFERROR(_xlfn.CONCAT("E",('Configurable Tab'!$C$5+2)),"")</f>
        <v>E42</v>
      </c>
      <c r="D1323" s="1480" t="s">
        <v>1365</v>
      </c>
      <c r="E1323" s="867" t="s">
        <v>1806</v>
      </c>
      <c r="F1323" s="1480"/>
      <c r="G1323" s="1480"/>
      <c r="H1323" s="1480"/>
      <c r="I1323" s="1427" t="str">
        <f t="shared" si="217"/>
        <v>Incentive Type</v>
      </c>
      <c r="J1323" s="1480" t="str">
        <f t="shared" ref="J1323:J1339" si="220">$Q$1&amp;IF(T$1286 = 2,IF(AND(T$1304=1,T$1304&lt;&gt;0),U1305,IF(AND(T$1322=1,T$1322&lt;&gt;0),U1323,"")),IF(T$1286=1,IF(T$1304=2,V1305,IF(T$1304=1,IF(AND(T$1322=1,T$1322&lt;&gt;0),U1323,""),IF(T$1322=2,V1323,""))),IF(T$1304=2,IF(AND(T$1322=1,T$1322&lt;&gt;0),U1323,""),IF(T$1304=1,IF(T$1322 = 2,V1323,""),""))))</f>
        <v>F</v>
      </c>
      <c r="K1323" s="1480" t="str">
        <f t="shared" si="216"/>
        <v>Incentives</v>
      </c>
      <c r="L1323" s="1480"/>
      <c r="M1323" s="1480"/>
      <c r="N1323" s="1480"/>
      <c r="O1323" s="1477"/>
      <c r="P1323" s="1477"/>
      <c r="Q1323" s="1477"/>
      <c r="R1323" s="1480" t="s">
        <v>857</v>
      </c>
      <c r="S1323" s="1482" t="s">
        <v>1813</v>
      </c>
      <c r="T1323" s="1477"/>
      <c r="U1323" s="1480" t="str">
        <f>IF(Q$608="Yes",M609,"")</f>
        <v/>
      </c>
      <c r="V1323" s="1480" t="str">
        <f>IF(Q$639="Yes",M640,"")</f>
        <v/>
      </c>
      <c r="W1323" s="1477"/>
      <c r="X1323" s="1477"/>
      <c r="Y1323" s="1477"/>
      <c r="Z1323" s="1477"/>
    </row>
    <row r="1324" spans="1:26" hidden="1" x14ac:dyDescent="0.25">
      <c r="A1324" s="1108" t="s">
        <v>1401</v>
      </c>
      <c r="B1324" s="1427" t="str">
        <f>IFERROR(_xlfn.CONCAT("D",('Configurable Tab'!$C$5+4)),"")</f>
        <v>D44</v>
      </c>
      <c r="C1324" s="1427" t="str">
        <f>IFERROR(_xlfn.CONCAT("E",('Configurable Tab'!$C$5+4)),"")</f>
        <v>E44</v>
      </c>
      <c r="D1324" s="1480" t="s">
        <v>1365</v>
      </c>
      <c r="E1324" s="867" t="s">
        <v>1806</v>
      </c>
      <c r="F1324" s="1480"/>
      <c r="G1324" s="1480"/>
      <c r="H1324" s="1480"/>
      <c r="I1324" s="1427" t="str">
        <f t="shared" si="217"/>
        <v>Incentive Effective Date</v>
      </c>
      <c r="J1324" s="1480" t="str">
        <f t="shared" si="220"/>
        <v>F</v>
      </c>
      <c r="K1324" s="1480" t="str">
        <f t="shared" si="216"/>
        <v>Incentives</v>
      </c>
      <c r="L1324" s="1480"/>
      <c r="M1324" s="1480"/>
      <c r="N1324" s="1480"/>
      <c r="O1324" s="1477"/>
      <c r="P1324" s="1477"/>
      <c r="Q1324" s="1477"/>
      <c r="R1324" s="1480" t="s">
        <v>857</v>
      </c>
      <c r="S1324" s="1482" t="s">
        <v>1813</v>
      </c>
      <c r="T1324" s="1477"/>
      <c r="U1324" s="1480" t="str">
        <f>IF(Q$608="Yes",M617,"")</f>
        <v/>
      </c>
      <c r="V1324" s="1480" t="str">
        <f>IF(Q$639="Yes",M648,"")</f>
        <v/>
      </c>
      <c r="W1324" s="1477"/>
      <c r="X1324" s="1477"/>
      <c r="Y1324" s="1477"/>
      <c r="Z1324" s="1477"/>
    </row>
    <row r="1325" spans="1:26" hidden="1" x14ac:dyDescent="0.25">
      <c r="A1325" s="1108" t="s">
        <v>1402</v>
      </c>
      <c r="B1325" s="1427" t="str">
        <f>IFERROR(_xlfn.CONCAT("D",('Configurable Tab'!$C$5+5)),"")</f>
        <v>D45</v>
      </c>
      <c r="C1325" s="1427" t="str">
        <f>IFERROR(_xlfn.CONCAT("E",('Configurable Tab'!$C$5+5)),"")</f>
        <v>E45</v>
      </c>
      <c r="D1325" s="1480" t="s">
        <v>1365</v>
      </c>
      <c r="E1325" s="867" t="s">
        <v>1806</v>
      </c>
      <c r="F1325" s="1480"/>
      <c r="G1325" s="1480"/>
      <c r="H1325" s="1480"/>
      <c r="I1325" s="1427" t="str">
        <f t="shared" si="217"/>
        <v>Incentive Expiration Date</v>
      </c>
      <c r="J1325" s="1480" t="str">
        <f t="shared" si="220"/>
        <v>F</v>
      </c>
      <c r="K1325" s="1480" t="str">
        <f t="shared" si="216"/>
        <v>Incentives</v>
      </c>
      <c r="L1325" s="1480"/>
      <c r="M1325" s="1480"/>
      <c r="N1325" s="1480"/>
      <c r="O1325" s="1477"/>
      <c r="P1325" s="1477"/>
      <c r="Q1325" s="1477"/>
      <c r="R1325" s="1480" t="s">
        <v>857</v>
      </c>
      <c r="S1325" s="1482" t="s">
        <v>1813</v>
      </c>
      <c r="T1325" s="1477"/>
      <c r="U1325" s="1480" t="str">
        <f>IF(Q$608="Yes",M618,"")</f>
        <v/>
      </c>
      <c r="V1325" s="1480" t="str">
        <f>IF(Q$639="Yes",M649,"")</f>
        <v/>
      </c>
      <c r="W1325" s="1477"/>
      <c r="X1325" s="1477"/>
      <c r="Y1325" s="1477"/>
      <c r="Z1325" s="1477"/>
    </row>
    <row r="1326" spans="1:26" hidden="1" x14ac:dyDescent="0.25">
      <c r="A1326" s="1108" t="s">
        <v>1396</v>
      </c>
      <c r="B1326" s="1427" t="str">
        <f>IFERROR(_xlfn.CONCAT("G",('Configurable Tab'!$C$5+1)),"")</f>
        <v>G41</v>
      </c>
      <c r="C1326" s="1427" t="str">
        <f>IFERROR(_xlfn.CONCAT("G",('Configurable Tab'!$C$5+2)),"")</f>
        <v>G42</v>
      </c>
      <c r="D1326" s="1480" t="s">
        <v>1365</v>
      </c>
      <c r="E1326" s="867" t="s">
        <v>1806</v>
      </c>
      <c r="F1326" s="1480"/>
      <c r="G1326" s="1480"/>
      <c r="H1326" s="1480"/>
      <c r="I1326" s="1427" t="str">
        <f t="shared" si="217"/>
        <v>Incentive Period</v>
      </c>
      <c r="J1326" s="1480" t="str">
        <f t="shared" si="220"/>
        <v>F</v>
      </c>
      <c r="K1326" s="1480" t="str">
        <f t="shared" si="216"/>
        <v>Incentives</v>
      </c>
      <c r="L1326" s="1480"/>
      <c r="M1326" s="1480"/>
      <c r="N1326" s="1480"/>
      <c r="O1326" s="1477"/>
      <c r="P1326" s="1477"/>
      <c r="Q1326" s="1477"/>
      <c r="R1326" s="1480" t="s">
        <v>857</v>
      </c>
      <c r="S1326" s="1482" t="s">
        <v>1813</v>
      </c>
      <c r="T1326" s="1477"/>
      <c r="U1326" s="1480" t="str">
        <f>IF(Q$608="Yes",M610,"")</f>
        <v/>
      </c>
      <c r="V1326" s="1480" t="str">
        <f>IF(Q$639="Yes",M641,"")</f>
        <v/>
      </c>
      <c r="W1326" s="1477"/>
      <c r="X1326" s="1477"/>
      <c r="Y1326" s="1477"/>
      <c r="Z1326" s="1477"/>
    </row>
    <row r="1327" spans="1:26" hidden="1" x14ac:dyDescent="0.25">
      <c r="A1327" s="1108" t="s">
        <v>1397</v>
      </c>
      <c r="B1327" s="1427" t="str">
        <f>IFERROR(_xlfn.CONCAT("I",('Configurable Tab'!$C$5+1)),"")</f>
        <v>I41</v>
      </c>
      <c r="C1327" s="1427" t="str">
        <f>IFERROR(_xlfn.CONCAT("I",('Configurable Tab'!$C$5+2)),"")</f>
        <v>I42</v>
      </c>
      <c r="D1327" s="1480" t="s">
        <v>1365</v>
      </c>
      <c r="E1327" s="867" t="s">
        <v>1806</v>
      </c>
      <c r="F1327" s="1480"/>
      <c r="G1327" s="1480"/>
      <c r="H1327" s="1480"/>
      <c r="I1327" s="1427" t="str">
        <f t="shared" si="217"/>
        <v>Payment Method</v>
      </c>
      <c r="J1327" s="1480" t="str">
        <f t="shared" si="220"/>
        <v>F</v>
      </c>
      <c r="K1327" s="1480" t="str">
        <f t="shared" si="216"/>
        <v>Incentives</v>
      </c>
      <c r="L1327" s="1480"/>
      <c r="M1327" s="1480"/>
      <c r="N1327" s="1480"/>
      <c r="O1327" s="1477"/>
      <c r="P1327" s="1477"/>
      <c r="Q1327" s="1477"/>
      <c r="R1327" s="1480" t="s">
        <v>857</v>
      </c>
      <c r="S1327" s="1482" t="s">
        <v>1813</v>
      </c>
      <c r="T1327" s="1477"/>
      <c r="U1327" s="1480" t="str">
        <f>IF(Q$608="Yes",M611,"")</f>
        <v/>
      </c>
      <c r="V1327" s="1480" t="str">
        <f>IF(Q$639="Yes",M642,"")</f>
        <v/>
      </c>
      <c r="W1327" s="1477"/>
      <c r="X1327" s="1477"/>
      <c r="Y1327" s="1477"/>
      <c r="Z1327" s="1477"/>
    </row>
    <row r="1328" spans="1:26" hidden="1" x14ac:dyDescent="0.25">
      <c r="A1328" s="1108" t="s">
        <v>839</v>
      </c>
      <c r="B1328" s="1427" t="str">
        <f>IFERROR(_xlfn.CONCAT("K",('Configurable Tab'!$C$5+1)),"")</f>
        <v>K41</v>
      </c>
      <c r="C1328" s="1427" t="str">
        <f>IFERROR(_xlfn.CONCAT("K",('Configurable Tab'!$C$5+2)),"")</f>
        <v>K42</v>
      </c>
      <c r="D1328" s="1480" t="s">
        <v>1365</v>
      </c>
      <c r="E1328" s="867" t="s">
        <v>1806</v>
      </c>
      <c r="F1328" s="1480"/>
      <c r="G1328" s="1480"/>
      <c r="H1328" s="1480"/>
      <c r="I1328" s="1427" t="str">
        <f t="shared" si="217"/>
        <v>Paid to:</v>
      </c>
      <c r="J1328" s="1480" t="str">
        <f t="shared" si="220"/>
        <v>F</v>
      </c>
      <c r="K1328" s="1480" t="str">
        <f t="shared" si="216"/>
        <v>Incentives</v>
      </c>
      <c r="L1328" s="1480"/>
      <c r="M1328" s="1480"/>
      <c r="N1328" s="1480"/>
      <c r="O1328" s="1477"/>
      <c r="P1328" s="1477"/>
      <c r="Q1328" s="1477"/>
      <c r="R1328" s="1480" t="s">
        <v>857</v>
      </c>
      <c r="S1328" s="1482" t="s">
        <v>1813</v>
      </c>
      <c r="T1328" s="1477"/>
      <c r="U1328" s="1480" t="str">
        <f>IF(Q$608="Yes",M612,"")</f>
        <v/>
      </c>
      <c r="V1328" s="1480" t="str">
        <f>IF(Q$639="Yes",M643,"")</f>
        <v/>
      </c>
      <c r="W1328" s="1477"/>
      <c r="X1328" s="1477"/>
      <c r="Y1328" s="1477"/>
      <c r="Z1328" s="1477"/>
    </row>
    <row r="1329" spans="1:26" hidden="1" x14ac:dyDescent="0.25">
      <c r="A1329" s="1108" t="s">
        <v>1398</v>
      </c>
      <c r="B1329" s="1427" t="str">
        <f>IFERROR(_xlfn.CONCAT("M",('Configurable Tab'!$C$5+1)),"")</f>
        <v>M41</v>
      </c>
      <c r="C1329" s="1427" t="str">
        <f>IFERROR(_xlfn.CONCAT("M",('Configurable Tab'!$C$5+2)),"")</f>
        <v>M42</v>
      </c>
      <c r="D1329" s="1480" t="s">
        <v>1365</v>
      </c>
      <c r="E1329" s="867" t="s">
        <v>1806</v>
      </c>
      <c r="F1329" s="1480"/>
      <c r="G1329" s="1480"/>
      <c r="H1329" s="1480"/>
      <c r="I1329" s="1427" t="str">
        <f t="shared" si="217"/>
        <v>AP/AR Vendor Number</v>
      </c>
      <c r="J1329" s="1480" t="str">
        <f t="shared" si="220"/>
        <v>F</v>
      </c>
      <c r="K1329" s="1480" t="str">
        <f t="shared" si="216"/>
        <v>Incentives</v>
      </c>
      <c r="L1329" s="1480"/>
      <c r="M1329" s="1480"/>
      <c r="N1329" s="1480"/>
      <c r="O1329" s="1477"/>
      <c r="P1329" s="1477"/>
      <c r="Q1329" s="1477"/>
      <c r="R1329" s="1480" t="s">
        <v>857</v>
      </c>
      <c r="S1329" s="1482" t="s">
        <v>1813</v>
      </c>
      <c r="T1329" s="1477"/>
      <c r="U1329" s="1480" t="str">
        <f>IF(Q$608="Yes",M613,"")</f>
        <v/>
      </c>
      <c r="V1329" s="1480" t="str">
        <f>IF(Q$639="Yes",M644,"")</f>
        <v/>
      </c>
      <c r="W1329" s="1477"/>
      <c r="X1329" s="1477"/>
      <c r="Y1329" s="1477"/>
      <c r="Z1329" s="1477"/>
    </row>
    <row r="1330" spans="1:26" hidden="1" x14ac:dyDescent="0.25">
      <c r="A1330" s="1108" t="s">
        <v>1403</v>
      </c>
      <c r="B1330" s="1427" t="str">
        <f>IFERROR(_xlfn.CONCAT("G",('Configurable Tab'!$C$5+6)),"")</f>
        <v>G46</v>
      </c>
      <c r="C1330" s="1427" t="str">
        <f>IFERROR(_xlfn.CONCAT("G",('Configurable Tab'!$C$5+7)),"")</f>
        <v>G47</v>
      </c>
      <c r="D1330" s="1480" t="s">
        <v>1365</v>
      </c>
      <c r="E1330" s="867" t="s">
        <v>1806</v>
      </c>
      <c r="F1330" s="1480"/>
      <c r="G1330" s="1480"/>
      <c r="H1330" s="1480"/>
      <c r="I1330" s="1427" t="str">
        <f t="shared" si="217"/>
        <v>Minimum Units</v>
      </c>
      <c r="J1330" s="1480" t="str">
        <f t="shared" si="220"/>
        <v>F</v>
      </c>
      <c r="K1330" s="1480" t="str">
        <f t="shared" si="216"/>
        <v>Incentives</v>
      </c>
      <c r="L1330" s="1480"/>
      <c r="M1330" s="1480"/>
      <c r="N1330" s="1480"/>
      <c r="O1330" s="1477"/>
      <c r="P1330" s="1477"/>
      <c r="Q1330" s="1477"/>
      <c r="R1330" s="1480" t="s">
        <v>857</v>
      </c>
      <c r="S1330" s="1482" t="s">
        <v>1813</v>
      </c>
      <c r="T1330" s="1477"/>
      <c r="U1330" s="1480" t="str">
        <f>IF(Q$608="Yes",M622,"")</f>
        <v/>
      </c>
      <c r="V1330" s="1480" t="str">
        <f>IF(Q$639="Yes",M653,"")</f>
        <v/>
      </c>
      <c r="W1330" s="1477"/>
      <c r="X1330" s="1477"/>
      <c r="Y1330" s="1477"/>
      <c r="Z1330" s="1477"/>
    </row>
    <row r="1331" spans="1:26" hidden="1" x14ac:dyDescent="0.25">
      <c r="A1331" s="1108" t="s">
        <v>1403</v>
      </c>
      <c r="B1331" s="1427" t="str">
        <f>IFERROR(_xlfn.CONCAT("G",('Configurable Tab'!$C$5+6)),"")</f>
        <v>G46</v>
      </c>
      <c r="C1331" s="1427" t="str">
        <f>IFERROR(_xlfn.CONCAT("G",('Configurable Tab'!$C$5+8)),"")</f>
        <v>G48</v>
      </c>
      <c r="D1331" s="1480" t="s">
        <v>1365</v>
      </c>
      <c r="E1331" s="867" t="s">
        <v>1806</v>
      </c>
      <c r="F1331" s="1480"/>
      <c r="G1331" s="1480"/>
      <c r="H1331" s="1480"/>
      <c r="I1331" s="1427" t="str">
        <f t="shared" si="217"/>
        <v>Minimum Units</v>
      </c>
      <c r="J1331" s="1480" t="str">
        <f t="shared" si="220"/>
        <v>F</v>
      </c>
      <c r="K1331" s="1480" t="str">
        <f t="shared" si="216"/>
        <v>Incentives</v>
      </c>
      <c r="L1331" s="1480"/>
      <c r="M1331" s="1480"/>
      <c r="N1331" s="1480"/>
      <c r="O1331" s="1477"/>
      <c r="P1331" s="1477"/>
      <c r="Q1331" s="1477"/>
      <c r="R1331" s="1480" t="s">
        <v>857</v>
      </c>
      <c r="S1331" s="1482" t="s">
        <v>1813</v>
      </c>
      <c r="T1331" s="1477"/>
      <c r="U1331" s="1480" t="str">
        <f>IF(Q$608="Yes",M625,"")</f>
        <v/>
      </c>
      <c r="V1331" s="1480" t="str">
        <f>IF(Q$639="Yes",M656,"")</f>
        <v/>
      </c>
      <c r="W1331" s="1477"/>
      <c r="X1331" s="1477"/>
      <c r="Y1331" s="1477"/>
      <c r="Z1331" s="1477"/>
    </row>
    <row r="1332" spans="1:26" hidden="1" x14ac:dyDescent="0.25">
      <c r="A1332" s="1108" t="s">
        <v>1403</v>
      </c>
      <c r="B1332" s="1427" t="str">
        <f>IFERROR(_xlfn.CONCAT("G",('Configurable Tab'!$C$5+6)),"")</f>
        <v>G46</v>
      </c>
      <c r="C1332" s="1427" t="str">
        <f>IFERROR(_xlfn.CONCAT("G",('Configurable Tab'!$C$5+9)),"")</f>
        <v>G49</v>
      </c>
      <c r="D1332" s="1480" t="s">
        <v>1365</v>
      </c>
      <c r="E1332" s="867" t="s">
        <v>1806</v>
      </c>
      <c r="F1332" s="1480"/>
      <c r="G1332" s="1480"/>
      <c r="H1332" s="1480"/>
      <c r="I1332" s="1427" t="str">
        <f t="shared" si="217"/>
        <v>Minimum Units</v>
      </c>
      <c r="J1332" s="1480" t="str">
        <f t="shared" si="220"/>
        <v>F</v>
      </c>
      <c r="K1332" s="1480" t="str">
        <f t="shared" si="216"/>
        <v>Incentives</v>
      </c>
      <c r="L1332" s="1480"/>
      <c r="M1332" s="1480"/>
      <c r="N1332" s="1480"/>
      <c r="O1332" s="1477"/>
      <c r="P1332" s="1477"/>
      <c r="Q1332" s="1477"/>
      <c r="R1332" s="1480" t="s">
        <v>857</v>
      </c>
      <c r="S1332" s="1482" t="s">
        <v>1813</v>
      </c>
      <c r="T1332" s="1477"/>
      <c r="U1332" s="1480" t="str">
        <f>IF(Q$608="Yes",M628,"")</f>
        <v/>
      </c>
      <c r="V1332" s="1480" t="str">
        <f>IF(Q$639="Yes",M659,"")</f>
        <v/>
      </c>
      <c r="W1332" s="1477"/>
      <c r="X1332" s="1477"/>
      <c r="Y1332" s="1477"/>
      <c r="Z1332" s="1477"/>
    </row>
    <row r="1333" spans="1:26" hidden="1" x14ac:dyDescent="0.25">
      <c r="A1333" s="1108" t="s">
        <v>1403</v>
      </c>
      <c r="B1333" s="1427" t="str">
        <f>IFERROR(_xlfn.CONCAT("G",('Configurable Tab'!$C$5+6)),"")</f>
        <v>G46</v>
      </c>
      <c r="C1333" s="1427" t="str">
        <f>IFERROR(_xlfn.CONCAT("G",('Configurable Tab'!$C$5+10)),"")</f>
        <v>G50</v>
      </c>
      <c r="D1333" s="1480" t="s">
        <v>1365</v>
      </c>
      <c r="E1333" s="867" t="s">
        <v>1806</v>
      </c>
      <c r="F1333" s="1480"/>
      <c r="G1333" s="1480"/>
      <c r="H1333" s="1480"/>
      <c r="I1333" s="1427" t="str">
        <f t="shared" si="217"/>
        <v>Minimum Units</v>
      </c>
      <c r="J1333" s="1480" t="str">
        <f t="shared" si="220"/>
        <v>F</v>
      </c>
      <c r="K1333" s="1480" t="str">
        <f t="shared" si="216"/>
        <v>Incentives</v>
      </c>
      <c r="L1333" s="1480"/>
      <c r="M1333" s="1480"/>
      <c r="N1333" s="1480"/>
      <c r="O1333" s="1477"/>
      <c r="P1333" s="1477"/>
      <c r="Q1333" s="1477"/>
      <c r="R1333" s="1480" t="s">
        <v>857</v>
      </c>
      <c r="S1333" s="1482" t="s">
        <v>1813</v>
      </c>
      <c r="T1333" s="1477"/>
      <c r="U1333" s="1480" t="str">
        <f>IF(Q$608="Yes",M631,"")</f>
        <v/>
      </c>
      <c r="V1333" s="1480" t="str">
        <f>IF(Q$639="Yes",M662,"")</f>
        <v/>
      </c>
      <c r="W1333" s="1477"/>
      <c r="X1333" s="1477"/>
      <c r="Y1333" s="1477"/>
      <c r="Z1333" s="1477"/>
    </row>
    <row r="1334" spans="1:26" hidden="1" x14ac:dyDescent="0.25">
      <c r="A1334" s="1108" t="s">
        <v>1403</v>
      </c>
      <c r="B1334" s="1427" t="str">
        <f>IFERROR(_xlfn.CONCAT("G",('Configurable Tab'!$C$5+6)),"")</f>
        <v>G46</v>
      </c>
      <c r="C1334" s="1427" t="str">
        <f>IFERROR(_xlfn.CONCAT("G",('Configurable Tab'!$C$5+11)),"")</f>
        <v>G51</v>
      </c>
      <c r="D1334" s="1480" t="s">
        <v>1365</v>
      </c>
      <c r="E1334" s="867" t="s">
        <v>1806</v>
      </c>
      <c r="F1334" s="1480"/>
      <c r="G1334" s="1480"/>
      <c r="H1334" s="1480"/>
      <c r="I1334" s="1427" t="str">
        <f t="shared" si="217"/>
        <v>Minimum Units</v>
      </c>
      <c r="J1334" s="1480" t="str">
        <f t="shared" si="220"/>
        <v>F</v>
      </c>
      <c r="K1334" s="1480" t="str">
        <f t="shared" si="216"/>
        <v>Incentives</v>
      </c>
      <c r="L1334" s="1480"/>
      <c r="M1334" s="1480"/>
      <c r="N1334" s="1480"/>
      <c r="O1334" s="1477"/>
      <c r="P1334" s="1477"/>
      <c r="Q1334" s="1477"/>
      <c r="R1334" s="1480" t="s">
        <v>857</v>
      </c>
      <c r="S1334" s="1482" t="s">
        <v>1813</v>
      </c>
      <c r="T1334" s="1477"/>
      <c r="U1334" s="1480" t="str">
        <f>IF(Q$608="Yes",M634,"")</f>
        <v/>
      </c>
      <c r="V1334" s="1480" t="str">
        <f>IF(Q$639="Yes",M665,"")</f>
        <v/>
      </c>
      <c r="W1334" s="1477"/>
      <c r="X1334" s="1477"/>
      <c r="Y1334" s="1477"/>
      <c r="Z1334" s="1477"/>
    </row>
    <row r="1335" spans="1:26" hidden="1" x14ac:dyDescent="0.25">
      <c r="A1335" s="1108" t="s">
        <v>1405</v>
      </c>
      <c r="B1335" s="1427" t="str">
        <f>IFERROR(_xlfn.CONCAT("K",('Configurable Tab'!$C$5+6)),"")</f>
        <v>K46</v>
      </c>
      <c r="C1335" s="1427" t="str">
        <f>IFERROR(_xlfn.CONCAT("K",('Configurable Tab'!$C$5+7)),"")</f>
        <v>K47</v>
      </c>
      <c r="D1335" s="1480" t="s">
        <v>1365</v>
      </c>
      <c r="E1335" s="867" t="s">
        <v>1806</v>
      </c>
      <c r="F1335" s="1480"/>
      <c r="G1335" s="1480"/>
      <c r="H1335" s="1480"/>
      <c r="I1335" s="1427" t="str">
        <f t="shared" si="217"/>
        <v>Rate % of Sales</v>
      </c>
      <c r="J1335" s="1480" t="str">
        <f t="shared" si="220"/>
        <v>F</v>
      </c>
      <c r="K1335" s="1480" t="str">
        <f t="shared" si="216"/>
        <v>Incentives</v>
      </c>
      <c r="L1335" s="1480"/>
      <c r="M1335" s="1480"/>
      <c r="N1335" s="1480"/>
      <c r="O1335" s="1477"/>
      <c r="P1335" s="1477"/>
      <c r="Q1335" s="1477"/>
      <c r="R1335" s="1480" t="s">
        <v>857</v>
      </c>
      <c r="S1335" s="1482" t="s">
        <v>1813</v>
      </c>
      <c r="T1335" s="1477"/>
      <c r="U1335" s="1480" t="str">
        <f>IF(Q$608="Yes",M624,"")</f>
        <v/>
      </c>
      <c r="V1335" s="1480" t="str">
        <f>IF(Q$639="Yes",M655,"")</f>
        <v/>
      </c>
      <c r="W1335" s="1477"/>
      <c r="X1335" s="1477"/>
      <c r="Y1335" s="1477"/>
      <c r="Z1335" s="1477"/>
    </row>
    <row r="1336" spans="1:26" hidden="1" x14ac:dyDescent="0.25">
      <c r="A1336" s="1108" t="s">
        <v>1405</v>
      </c>
      <c r="B1336" s="1427" t="str">
        <f>IFERROR(_xlfn.CONCAT("K",('Configurable Tab'!$C$5+6)),"")</f>
        <v>K46</v>
      </c>
      <c r="C1336" s="1427" t="str">
        <f>IFERROR(_xlfn.CONCAT("K",('Configurable Tab'!$C$5+8)),"")</f>
        <v>K48</v>
      </c>
      <c r="D1336" s="1480" t="s">
        <v>1365</v>
      </c>
      <c r="E1336" s="867" t="s">
        <v>1806</v>
      </c>
      <c r="F1336" s="1480"/>
      <c r="G1336" s="1480"/>
      <c r="H1336" s="1480"/>
      <c r="I1336" s="1427" t="str">
        <f t="shared" si="217"/>
        <v>Rate % of Sales</v>
      </c>
      <c r="J1336" s="1480" t="str">
        <f t="shared" si="220"/>
        <v>F</v>
      </c>
      <c r="K1336" s="1480" t="str">
        <f t="shared" si="216"/>
        <v>Incentives</v>
      </c>
      <c r="L1336" s="1480"/>
      <c r="M1336" s="1480"/>
      <c r="N1336" s="1480"/>
      <c r="O1336" s="1477"/>
      <c r="P1336" s="1477"/>
      <c r="Q1336" s="1477"/>
      <c r="R1336" s="1480" t="s">
        <v>857</v>
      </c>
      <c r="S1336" s="1482" t="s">
        <v>1813</v>
      </c>
      <c r="T1336" s="1477"/>
      <c r="U1336" s="1480" t="str">
        <f>IF(Q$608="Yes",M627,"")</f>
        <v/>
      </c>
      <c r="V1336" s="1480" t="str">
        <f>IF(Q$639="Yes",M658,"")</f>
        <v/>
      </c>
      <c r="W1336" s="1477"/>
      <c r="X1336" s="1477"/>
      <c r="Y1336" s="1477"/>
      <c r="Z1336" s="1477"/>
    </row>
    <row r="1337" spans="1:26" hidden="1" x14ac:dyDescent="0.25">
      <c r="A1337" s="1108" t="s">
        <v>1405</v>
      </c>
      <c r="B1337" s="1427" t="str">
        <f>IFERROR(_xlfn.CONCAT("K",('Configurable Tab'!$C$5+6)),"")</f>
        <v>K46</v>
      </c>
      <c r="C1337" s="1427" t="str">
        <f>IFERROR(_xlfn.CONCAT("K",('Configurable Tab'!$C$5+9)),"")</f>
        <v>K49</v>
      </c>
      <c r="D1337" s="1480" t="s">
        <v>1365</v>
      </c>
      <c r="E1337" s="867" t="s">
        <v>1806</v>
      </c>
      <c r="F1337" s="1480"/>
      <c r="G1337" s="1480"/>
      <c r="H1337" s="1480"/>
      <c r="I1337" s="1427" t="str">
        <f t="shared" si="217"/>
        <v>Rate % of Sales</v>
      </c>
      <c r="J1337" s="1480" t="str">
        <f t="shared" si="220"/>
        <v>F</v>
      </c>
      <c r="K1337" s="1480" t="str">
        <f t="shared" si="216"/>
        <v>Incentives</v>
      </c>
      <c r="L1337" s="1480"/>
      <c r="M1337" s="1480"/>
      <c r="N1337" s="1480"/>
      <c r="O1337" s="1477"/>
      <c r="P1337" s="1477"/>
      <c r="Q1337" s="1477"/>
      <c r="R1337" s="1480" t="s">
        <v>857</v>
      </c>
      <c r="S1337" s="1482" t="s">
        <v>1813</v>
      </c>
      <c r="T1337" s="1477"/>
      <c r="U1337" s="1480" t="str">
        <f>IF(Q$608="Yes",M630,"")</f>
        <v/>
      </c>
      <c r="V1337" s="1480" t="str">
        <f>IF(Q$639="Yes",M661,"")</f>
        <v/>
      </c>
      <c r="W1337" s="1477"/>
      <c r="X1337" s="1477"/>
      <c r="Y1337" s="1477"/>
      <c r="Z1337" s="1477"/>
    </row>
    <row r="1338" spans="1:26" hidden="1" x14ac:dyDescent="0.25">
      <c r="A1338" s="1108" t="s">
        <v>1405</v>
      </c>
      <c r="B1338" s="1427" t="str">
        <f>IFERROR(_xlfn.CONCAT("K",('Configurable Tab'!$C$5+6)),"")</f>
        <v>K46</v>
      </c>
      <c r="C1338" s="1427" t="str">
        <f>IFERROR(_xlfn.CONCAT("K",('Configurable Tab'!$C$5+10)),"")</f>
        <v>K50</v>
      </c>
      <c r="D1338" s="1480" t="s">
        <v>1365</v>
      </c>
      <c r="E1338" s="867" t="s">
        <v>1806</v>
      </c>
      <c r="F1338" s="1480"/>
      <c r="G1338" s="1480"/>
      <c r="H1338" s="1480"/>
      <c r="I1338" s="1427" t="str">
        <f t="shared" si="217"/>
        <v>Rate % of Sales</v>
      </c>
      <c r="J1338" s="1480" t="str">
        <f t="shared" si="220"/>
        <v>F</v>
      </c>
      <c r="K1338" s="1480" t="str">
        <f t="shared" si="216"/>
        <v>Incentives</v>
      </c>
      <c r="L1338" s="1480"/>
      <c r="M1338" s="1480"/>
      <c r="N1338" s="1480"/>
      <c r="O1338" s="1477"/>
      <c r="P1338" s="1477"/>
      <c r="Q1338" s="1477"/>
      <c r="R1338" s="1480" t="s">
        <v>857</v>
      </c>
      <c r="S1338" s="1482" t="s">
        <v>1813</v>
      </c>
      <c r="T1338" s="1477"/>
      <c r="U1338" s="1480" t="str">
        <f>IF(Q$608="Yes",M633,"")</f>
        <v/>
      </c>
      <c r="V1338" s="1480" t="str">
        <f>IF(Q$639="Yes",M664,"")</f>
        <v/>
      </c>
      <c r="W1338" s="1477"/>
      <c r="X1338" s="1477"/>
      <c r="Y1338" s="1477"/>
      <c r="Z1338" s="1477"/>
    </row>
    <row r="1339" spans="1:26" hidden="1" x14ac:dyDescent="0.25">
      <c r="A1339" s="1108" t="s">
        <v>1405</v>
      </c>
      <c r="B1339" s="1427" t="str">
        <f>IFERROR(_xlfn.CONCAT("K",('Configurable Tab'!$C$5+6)),"")</f>
        <v>K46</v>
      </c>
      <c r="C1339" s="1427" t="str">
        <f>IFERROR(_xlfn.CONCAT("K",('Configurable Tab'!$C$5+11)),"")</f>
        <v>K51</v>
      </c>
      <c r="D1339" s="1480" t="s">
        <v>1365</v>
      </c>
      <c r="E1339" s="867" t="s">
        <v>1806</v>
      </c>
      <c r="F1339" s="1480"/>
      <c r="G1339" s="1480"/>
      <c r="H1339" s="1480"/>
      <c r="I1339" s="1427" t="str">
        <f t="shared" si="217"/>
        <v>Rate % of Sales</v>
      </c>
      <c r="J1339" s="1480" t="str">
        <f t="shared" si="220"/>
        <v>F</v>
      </c>
      <c r="K1339" s="1480" t="str">
        <f t="shared" si="216"/>
        <v>Incentives</v>
      </c>
      <c r="L1339" s="1480"/>
      <c r="M1339" s="1480"/>
      <c r="N1339" s="1480"/>
      <c r="O1339" s="1477"/>
      <c r="P1339" s="1477"/>
      <c r="Q1339" s="1477"/>
      <c r="R1339" s="1480" t="s">
        <v>857</v>
      </c>
      <c r="S1339" s="1482" t="s">
        <v>1813</v>
      </c>
      <c r="T1339" s="1477"/>
      <c r="U1339" s="1480" t="str">
        <f>IF(Q$608="Yes",M636,"")</f>
        <v/>
      </c>
      <c r="V1339" s="1480" t="str">
        <f>IF(Q$639="Yes",M667,"")</f>
        <v/>
      </c>
      <c r="W1339" s="1477"/>
      <c r="X1339" s="1477"/>
      <c r="Y1339" s="1477"/>
      <c r="Z1339" s="1477"/>
    </row>
    <row r="1340" spans="1:26" hidden="1" x14ac:dyDescent="0.25">
      <c r="A1340" s="1181" t="s">
        <v>526</v>
      </c>
      <c r="B1340" s="1427" t="str">
        <f>IFERROR(_xlfn.CONCAT("D",('Configurable Tab'!$C$6+1)),"")</f>
        <v>D55</v>
      </c>
      <c r="C1340" s="1427" t="str">
        <f>IFERROR(_xlfn.CONCAT("E",('Configurable Tab'!$C$6+1)),"")</f>
        <v>E55</v>
      </c>
      <c r="D1340" s="1480" t="s">
        <v>1365</v>
      </c>
      <c r="E1340" s="867" t="s">
        <v>1806</v>
      </c>
      <c r="F1340" s="1480"/>
      <c r="G1340" s="1480"/>
      <c r="H1340" s="1480"/>
      <c r="I1340" s="1427" t="str">
        <f t="shared" si="217"/>
        <v>Offer this Incentive?</v>
      </c>
      <c r="J1340" s="1480" t="str">
        <f>$Q$1&amp;IF(T$1340&lt;&gt;0,U1340,IF(T$1358&lt;&gt;0,U1358,""))</f>
        <v>F653</v>
      </c>
      <c r="K1340" s="1480" t="str">
        <f t="shared" si="216"/>
        <v>Incentives</v>
      </c>
      <c r="L1340" s="1480"/>
      <c r="M1340" s="1480"/>
      <c r="N1340" s="1480"/>
      <c r="O1340" s="1477" t="s">
        <v>1706</v>
      </c>
      <c r="P1340" s="1477"/>
      <c r="Q1340" s="1427" t="str">
        <f>IFERROR(_xlfn.CONCAT("C",('Configurable Tab'!$C6+1)),"")</f>
        <v>C55</v>
      </c>
      <c r="R1340" s="1480" t="s">
        <v>1544</v>
      </c>
      <c r="S1340" s="1482" t="s">
        <v>1814</v>
      </c>
      <c r="T1340" s="1480">
        <f>IF(Q$670="Yes",IF(Q$688="Yes",2,1),0)</f>
        <v>1</v>
      </c>
      <c r="U1340" s="1480">
        <f>IF(Q$670="Yes",M670,"")</f>
        <v>653</v>
      </c>
      <c r="V1340" s="1480" t="str">
        <f>IF(Q$688="Yes",M688,"")</f>
        <v/>
      </c>
      <c r="W1340" s="1477"/>
      <c r="X1340" s="1477"/>
      <c r="Y1340" s="1477"/>
      <c r="Z1340" s="1477"/>
    </row>
    <row r="1341" spans="1:26" hidden="1" x14ac:dyDescent="0.25">
      <c r="A1341" s="1182" t="s">
        <v>1399</v>
      </c>
      <c r="B1341" s="1427" t="str">
        <f>IFERROR(_xlfn.CONCAT("D",('Configurable Tab'!$C$6+2)),"")</f>
        <v>D56</v>
      </c>
      <c r="C1341" s="1427" t="str">
        <f>IFERROR(_xlfn.CONCAT("E",('Configurable Tab'!$C$6+2)),"")</f>
        <v>E56</v>
      </c>
      <c r="D1341" s="1480" t="s">
        <v>1365</v>
      </c>
      <c r="E1341" s="867" t="s">
        <v>1806</v>
      </c>
      <c r="F1341" s="1480"/>
      <c r="G1341" s="1480"/>
      <c r="H1341" s="1480"/>
      <c r="I1341" s="1427" t="str">
        <f t="shared" si="217"/>
        <v>Incentive Type</v>
      </c>
      <c r="J1341" s="1480" t="str">
        <f t="shared" ref="J1341:J1357" si="221">$Q$1&amp;IF(T$1340&lt;&gt;0,U1341,IF(T$1358&lt;&gt;0,U1359,""))</f>
        <v>F654</v>
      </c>
      <c r="K1341" s="1480" t="str">
        <f t="shared" si="216"/>
        <v>Incentives</v>
      </c>
      <c r="L1341" s="1480"/>
      <c r="M1341" s="1480"/>
      <c r="N1341" s="1480"/>
      <c r="O1341" s="1477"/>
      <c r="P1341" s="1477"/>
      <c r="Q1341" s="1477"/>
      <c r="R1341" s="1480" t="s">
        <v>1544</v>
      </c>
      <c r="S1341" s="1482" t="s">
        <v>1814</v>
      </c>
      <c r="T1341" s="1477"/>
      <c r="U1341" s="1480">
        <f>IF(Q$670="Yes",M671,"")</f>
        <v>654</v>
      </c>
      <c r="V1341" s="1480" t="str">
        <f>IF(Q$688="Yes",M689,"")</f>
        <v/>
      </c>
      <c r="W1341" s="1477"/>
      <c r="X1341" s="1477"/>
      <c r="Y1341" s="1477"/>
      <c r="Z1341" s="1477"/>
    </row>
    <row r="1342" spans="1:26" hidden="1" x14ac:dyDescent="0.25">
      <c r="A1342" s="1182" t="s">
        <v>1401</v>
      </c>
      <c r="B1342" s="1427" t="str">
        <f>IFERROR(_xlfn.CONCAT("D",('Configurable Tab'!$C$6+4)),"")</f>
        <v>D58</v>
      </c>
      <c r="C1342" s="1427" t="str">
        <f>IFERROR(_xlfn.CONCAT("E",('Configurable Tab'!$C$6+4)),"")</f>
        <v>E58</v>
      </c>
      <c r="D1342" s="1480" t="s">
        <v>1365</v>
      </c>
      <c r="E1342" s="867" t="s">
        <v>1806</v>
      </c>
      <c r="F1342" s="1480"/>
      <c r="G1342" s="1480"/>
      <c r="H1342" s="1480"/>
      <c r="I1342" s="1427" t="str">
        <f t="shared" si="217"/>
        <v>Incentive Effective Date</v>
      </c>
      <c r="J1342" s="1480" t="str">
        <f t="shared" si="221"/>
        <v>F662</v>
      </c>
      <c r="K1342" s="1480" t="str">
        <f t="shared" si="216"/>
        <v>Incentives</v>
      </c>
      <c r="L1342" s="1480"/>
      <c r="M1342" s="1480"/>
      <c r="N1342" s="1480"/>
      <c r="O1342" s="1477"/>
      <c r="P1342" s="1477"/>
      <c r="Q1342" s="1477"/>
      <c r="R1342" s="1480" t="s">
        <v>1544</v>
      </c>
      <c r="S1342" s="1482" t="s">
        <v>1814</v>
      </c>
      <c r="T1342" s="1477"/>
      <c r="U1342" s="1480">
        <f>IF(Q$670="Yes",M679,"")</f>
        <v>662</v>
      </c>
      <c r="V1342" s="1480" t="str">
        <f>IF(Q$688="Yes",M697,"")</f>
        <v/>
      </c>
      <c r="W1342" s="1477"/>
      <c r="X1342" s="1477"/>
      <c r="Y1342" s="1477"/>
      <c r="Z1342" s="1477"/>
    </row>
    <row r="1343" spans="1:26" hidden="1" x14ac:dyDescent="0.25">
      <c r="A1343" s="1182" t="s">
        <v>1402</v>
      </c>
      <c r="B1343" s="1427" t="str">
        <f>IFERROR(_xlfn.CONCAT("D",('Configurable Tab'!$C$6+5)),"")</f>
        <v>D59</v>
      </c>
      <c r="C1343" s="1427" t="str">
        <f>IFERROR(_xlfn.CONCAT("E",('Configurable Tab'!$C$6+5)),"")</f>
        <v>E59</v>
      </c>
      <c r="D1343" s="1480" t="s">
        <v>1365</v>
      </c>
      <c r="E1343" s="867" t="s">
        <v>1806</v>
      </c>
      <c r="F1343" s="1480"/>
      <c r="G1343" s="1480"/>
      <c r="H1343" s="1480"/>
      <c r="I1343" s="1427" t="str">
        <f t="shared" si="217"/>
        <v>Incentive Expiration Date</v>
      </c>
      <c r="J1343" s="1480" t="str">
        <f t="shared" si="221"/>
        <v>F663</v>
      </c>
      <c r="K1343" s="1480" t="str">
        <f t="shared" si="216"/>
        <v>Incentives</v>
      </c>
      <c r="L1343" s="1480"/>
      <c r="M1343" s="1480"/>
      <c r="N1343" s="1480"/>
      <c r="O1343" s="1477"/>
      <c r="P1343" s="1477"/>
      <c r="Q1343" s="1477"/>
      <c r="R1343" s="1480" t="s">
        <v>1544</v>
      </c>
      <c r="S1343" s="1482" t="s">
        <v>1814</v>
      </c>
      <c r="T1343" s="1477"/>
      <c r="U1343" s="1480">
        <f>IF(Q$670="Yes",M680,"")</f>
        <v>663</v>
      </c>
      <c r="V1343" s="1480" t="str">
        <f>IF(Q$688="Yes",M698,"")</f>
        <v/>
      </c>
      <c r="W1343" s="1477"/>
      <c r="X1343" s="1477"/>
      <c r="Y1343" s="1477"/>
      <c r="Z1343" s="1477"/>
    </row>
    <row r="1344" spans="1:26" hidden="1" x14ac:dyDescent="0.25">
      <c r="A1344" s="1182" t="s">
        <v>1396</v>
      </c>
      <c r="B1344" s="1427" t="str">
        <f>IFERROR(_xlfn.CONCAT("G",('Configurable Tab'!$C$6+1)),"")</f>
        <v>G55</v>
      </c>
      <c r="C1344" s="1427" t="str">
        <f>IFERROR(_xlfn.CONCAT("G",('Configurable Tab'!$C$6+2)),"")</f>
        <v>G56</v>
      </c>
      <c r="D1344" s="1480" t="s">
        <v>1365</v>
      </c>
      <c r="E1344" s="867" t="s">
        <v>1806</v>
      </c>
      <c r="F1344" s="1476"/>
      <c r="G1344" s="1180"/>
      <c r="H1344" s="1480"/>
      <c r="I1344" s="1427" t="str">
        <f t="shared" si="217"/>
        <v>Incentive Period</v>
      </c>
      <c r="J1344" s="1480" t="str">
        <f t="shared" si="221"/>
        <v>F655</v>
      </c>
      <c r="K1344" s="1480" t="str">
        <f t="shared" si="216"/>
        <v>Incentives</v>
      </c>
      <c r="L1344" s="1480"/>
      <c r="M1344" s="1480"/>
      <c r="N1344" s="1480"/>
      <c r="O1344" s="1477"/>
      <c r="P1344" s="1477"/>
      <c r="Q1344" s="1477"/>
      <c r="R1344" s="1480" t="s">
        <v>1544</v>
      </c>
      <c r="S1344" s="1482" t="s">
        <v>1814</v>
      </c>
      <c r="T1344" s="1477"/>
      <c r="U1344" s="1480">
        <f>IF(Q$670="Yes",M672,"")</f>
        <v>655</v>
      </c>
      <c r="V1344" s="1480" t="str">
        <f>IF(Q$688="Yes",M690,"")</f>
        <v/>
      </c>
      <c r="W1344" s="1477"/>
      <c r="X1344" s="1477"/>
      <c r="Y1344" s="1477"/>
      <c r="Z1344" s="1477"/>
    </row>
    <row r="1345" spans="1:26" hidden="1" x14ac:dyDescent="0.25">
      <c r="A1345" s="1182" t="s">
        <v>1397</v>
      </c>
      <c r="B1345" s="1427" t="str">
        <f>IFERROR(_xlfn.CONCAT("I",('Configurable Tab'!$C$6+1)),"")</f>
        <v>I55</v>
      </c>
      <c r="C1345" s="1427" t="str">
        <f>IFERROR(_xlfn.CONCAT("I",('Configurable Tab'!$C$6+2)),"")</f>
        <v>I56</v>
      </c>
      <c r="D1345" s="1480" t="s">
        <v>1365</v>
      </c>
      <c r="E1345" s="867" t="s">
        <v>1806</v>
      </c>
      <c r="F1345" s="1480"/>
      <c r="G1345" s="1480"/>
      <c r="H1345" s="1480"/>
      <c r="I1345" s="1427" t="str">
        <f t="shared" si="217"/>
        <v>Payment Method</v>
      </c>
      <c r="J1345" s="1480" t="str">
        <f t="shared" si="221"/>
        <v>F656</v>
      </c>
      <c r="K1345" s="1480" t="str">
        <f t="shared" si="216"/>
        <v>Incentives</v>
      </c>
      <c r="L1345" s="1480"/>
      <c r="M1345" s="1480"/>
      <c r="N1345" s="1480"/>
      <c r="O1345" s="1477"/>
      <c r="P1345" s="1477"/>
      <c r="Q1345" s="1477"/>
      <c r="R1345" s="1480" t="s">
        <v>1544</v>
      </c>
      <c r="S1345" s="1482" t="s">
        <v>1814</v>
      </c>
      <c r="T1345" s="1477"/>
      <c r="U1345" s="1480">
        <f>IF(Q$670="Yes",M673,"")</f>
        <v>656</v>
      </c>
      <c r="V1345" s="1480" t="str">
        <f>IF(Q$688="Yes",M691,"")</f>
        <v/>
      </c>
      <c r="W1345" s="1477"/>
      <c r="X1345" s="1477"/>
      <c r="Y1345" s="1477"/>
      <c r="Z1345" s="1477"/>
    </row>
    <row r="1346" spans="1:26" hidden="1" x14ac:dyDescent="0.25">
      <c r="A1346" s="1182" t="s">
        <v>839</v>
      </c>
      <c r="B1346" s="1427" t="str">
        <f>IFERROR(_xlfn.CONCAT("K",('Configurable Tab'!$C$6+1)),"")</f>
        <v>K55</v>
      </c>
      <c r="C1346" s="1427" t="str">
        <f>IFERROR(_xlfn.CONCAT("K",('Configurable Tab'!$C$6+2)),"")</f>
        <v>K56</v>
      </c>
      <c r="D1346" s="1480" t="s">
        <v>1365</v>
      </c>
      <c r="E1346" s="867" t="s">
        <v>1806</v>
      </c>
      <c r="F1346" s="1480"/>
      <c r="G1346" s="1480"/>
      <c r="H1346" s="1480"/>
      <c r="I1346" s="1427" t="str">
        <f t="shared" si="217"/>
        <v>Paid to:</v>
      </c>
      <c r="J1346" s="1480" t="str">
        <f t="shared" si="221"/>
        <v>F657</v>
      </c>
      <c r="K1346" s="1480" t="str">
        <f t="shared" si="216"/>
        <v>Incentives</v>
      </c>
      <c r="L1346" s="1480"/>
      <c r="M1346" s="1480"/>
      <c r="N1346" s="1480"/>
      <c r="O1346" s="1477"/>
      <c r="P1346" s="1477"/>
      <c r="Q1346" s="1477"/>
      <c r="R1346" s="1480" t="s">
        <v>1544</v>
      </c>
      <c r="S1346" s="1482" t="s">
        <v>1814</v>
      </c>
      <c r="T1346" s="1477"/>
      <c r="U1346" s="1480">
        <f>IF(Q$670="Yes",M674,"")</f>
        <v>657</v>
      </c>
      <c r="V1346" s="1480" t="str">
        <f>IF(Q$688="Yes",M692,"")</f>
        <v/>
      </c>
      <c r="W1346" s="1477"/>
      <c r="X1346" s="1477"/>
      <c r="Y1346" s="1477"/>
      <c r="Z1346" s="1477"/>
    </row>
    <row r="1347" spans="1:26" hidden="1" x14ac:dyDescent="0.25">
      <c r="A1347" s="1182" t="s">
        <v>1398</v>
      </c>
      <c r="B1347" s="1427" t="str">
        <f>IFERROR(_xlfn.CONCAT("M",('Configurable Tab'!$C$6+1)),"")</f>
        <v>M55</v>
      </c>
      <c r="C1347" s="1427" t="str">
        <f>IFERROR(_xlfn.CONCAT("M",('Configurable Tab'!$C$6+2)),"")</f>
        <v>M56</v>
      </c>
      <c r="D1347" s="1480" t="s">
        <v>1365</v>
      </c>
      <c r="E1347" s="867" t="s">
        <v>1806</v>
      </c>
      <c r="F1347" s="1480"/>
      <c r="G1347" s="1480"/>
      <c r="H1347" s="1480"/>
      <c r="I1347" s="1427" t="str">
        <f t="shared" si="217"/>
        <v>AP/AR Vendor Number</v>
      </c>
      <c r="J1347" s="1480" t="str">
        <f t="shared" si="221"/>
        <v>F658</v>
      </c>
      <c r="K1347" s="1480" t="str">
        <f t="shared" si="216"/>
        <v>Incentives</v>
      </c>
      <c r="L1347" s="1480"/>
      <c r="M1347" s="1480"/>
      <c r="N1347" s="1480"/>
      <c r="O1347" s="1477"/>
      <c r="P1347" s="1477"/>
      <c r="Q1347" s="1477"/>
      <c r="R1347" s="1480" t="s">
        <v>1544</v>
      </c>
      <c r="S1347" s="1482" t="s">
        <v>1814</v>
      </c>
      <c r="T1347" s="1477"/>
      <c r="U1347" s="1480">
        <f>IF(Q$670="Yes",M675,"")</f>
        <v>658</v>
      </c>
      <c r="V1347" s="1480" t="str">
        <f>IF(Q$688="Yes",M693,"")</f>
        <v/>
      </c>
      <c r="W1347" s="1477"/>
      <c r="X1347" s="1477"/>
      <c r="Y1347" s="1477"/>
      <c r="Z1347" s="1477"/>
    </row>
    <row r="1348" spans="1:26" hidden="1" x14ac:dyDescent="0.25">
      <c r="A1348" s="1182" t="s">
        <v>1403</v>
      </c>
      <c r="B1348" s="1427" t="str">
        <f>IFERROR(_xlfn.CONCAT("G",('Configurable Tab'!$C$6+6)),"")</f>
        <v>G60</v>
      </c>
      <c r="C1348" s="1427" t="str">
        <f>IFERROR(_xlfn.CONCAT("G",('Configurable Tab'!$C$6+7)),"")</f>
        <v>G61</v>
      </c>
      <c r="D1348" s="1480" t="s">
        <v>1365</v>
      </c>
      <c r="E1348" s="867" t="s">
        <v>1806</v>
      </c>
      <c r="F1348" s="1480"/>
      <c r="G1348" s="1480"/>
      <c r="H1348" s="1480"/>
      <c r="I1348" s="1427" t="str">
        <f t="shared" si="217"/>
        <v>Minimum Units</v>
      </c>
      <c r="J1348" s="1480" t="str">
        <f t="shared" si="221"/>
        <v>F667</v>
      </c>
      <c r="K1348" s="1480" t="str">
        <f t="shared" si="216"/>
        <v>Incentives</v>
      </c>
      <c r="L1348" s="1480"/>
      <c r="M1348" s="1480"/>
      <c r="N1348" s="1480"/>
      <c r="O1348" s="1477"/>
      <c r="P1348" s="1477"/>
      <c r="Q1348" s="1477"/>
      <c r="R1348" s="1480" t="s">
        <v>1544</v>
      </c>
      <c r="S1348" s="1482" t="s">
        <v>1814</v>
      </c>
      <c r="T1348" s="1477"/>
      <c r="U1348" s="1480">
        <f>IF(Q$670="Yes",M684,"")</f>
        <v>667</v>
      </c>
      <c r="V1348" s="1480" t="str">
        <f>IF(Q$688="Yes",M702,"")</f>
        <v/>
      </c>
      <c r="W1348" s="1477"/>
      <c r="X1348" s="1477"/>
      <c r="Y1348" s="1477"/>
      <c r="Z1348" s="1477"/>
    </row>
    <row r="1349" spans="1:26" hidden="1" x14ac:dyDescent="0.25">
      <c r="A1349" s="1182" t="s">
        <v>1403</v>
      </c>
      <c r="B1349" s="1427" t="str">
        <f>IFERROR(_xlfn.CONCAT("G",('Configurable Tab'!$C$6+6)),"")</f>
        <v>G60</v>
      </c>
      <c r="C1349" s="1427" t="str">
        <f>IFERROR(_xlfn.CONCAT("G",('Configurable Tab'!$C$6+8)),"")</f>
        <v>G62</v>
      </c>
      <c r="D1349" s="1480" t="s">
        <v>1365</v>
      </c>
      <c r="E1349" s="867" t="s">
        <v>1806</v>
      </c>
      <c r="F1349" s="1480"/>
      <c r="G1349" s="1480"/>
      <c r="H1349" s="1480"/>
      <c r="I1349" s="1427" t="str">
        <f t="shared" si="217"/>
        <v>Minimum Units</v>
      </c>
      <c r="J1349" s="1480" t="str">
        <f t="shared" si="221"/>
        <v>F</v>
      </c>
      <c r="K1349" s="1480" t="str">
        <f t="shared" ref="K1349:K1412" si="222">IF(J1349&lt;&gt;"",E1349,"")</f>
        <v>Incentives</v>
      </c>
      <c r="L1349" s="1480"/>
      <c r="M1349" s="1480"/>
      <c r="N1349" s="1480"/>
      <c r="O1349" s="1477"/>
      <c r="P1349" s="1477"/>
      <c r="Q1349" s="1477"/>
      <c r="R1349" s="1480" t="s">
        <v>1544</v>
      </c>
      <c r="S1349" s="1477"/>
      <c r="T1349" s="1477"/>
      <c r="U1349" s="1477"/>
      <c r="V1349" s="1477"/>
      <c r="W1349" s="1477"/>
      <c r="X1349" s="1477"/>
      <c r="Y1349" s="1477"/>
      <c r="Z1349" s="1477"/>
    </row>
    <row r="1350" spans="1:26" hidden="1" x14ac:dyDescent="0.25">
      <c r="A1350" s="1182" t="s">
        <v>1403</v>
      </c>
      <c r="B1350" s="1427" t="str">
        <f>IFERROR(_xlfn.CONCAT("G",('Configurable Tab'!$C$6+6)),"")</f>
        <v>G60</v>
      </c>
      <c r="C1350" s="1427" t="str">
        <f>IFERROR(_xlfn.CONCAT("G",('Configurable Tab'!$C$6+9)),"")</f>
        <v>G63</v>
      </c>
      <c r="D1350" s="1480" t="s">
        <v>1365</v>
      </c>
      <c r="E1350" s="867" t="s">
        <v>1806</v>
      </c>
      <c r="F1350" s="1480"/>
      <c r="G1350" s="1480"/>
      <c r="H1350" s="1480"/>
      <c r="I1350" s="1427" t="str">
        <f t="shared" ref="I1350:I1413" si="223">IF(J1350&lt;&gt;"",A1350,"")</f>
        <v>Minimum Units</v>
      </c>
      <c r="J1350" s="1480" t="str">
        <f t="shared" si="221"/>
        <v>F</v>
      </c>
      <c r="K1350" s="1480" t="str">
        <f t="shared" si="222"/>
        <v>Incentives</v>
      </c>
      <c r="L1350" s="1480"/>
      <c r="M1350" s="1480"/>
      <c r="N1350" s="1480"/>
      <c r="O1350" s="1477"/>
      <c r="P1350" s="1477"/>
      <c r="Q1350" s="1477"/>
      <c r="R1350" s="1480" t="s">
        <v>1544</v>
      </c>
      <c r="S1350" s="1477"/>
      <c r="T1350" s="1477"/>
      <c r="U1350" s="1477"/>
      <c r="V1350" s="1477"/>
      <c r="W1350" s="1477"/>
      <c r="X1350" s="1477"/>
      <c r="Y1350" s="1477"/>
      <c r="Z1350" s="1477"/>
    </row>
    <row r="1351" spans="1:26" hidden="1" x14ac:dyDescent="0.25">
      <c r="A1351" s="1182" t="s">
        <v>1403</v>
      </c>
      <c r="B1351" s="1427" t="str">
        <f>IFERROR(_xlfn.CONCAT("G",('Configurable Tab'!$C$6+6)),"")</f>
        <v>G60</v>
      </c>
      <c r="C1351" s="1427" t="str">
        <f>IFERROR(_xlfn.CONCAT("G",('Configurable Tab'!$C$6+10)),"")</f>
        <v>G64</v>
      </c>
      <c r="D1351" s="1480" t="s">
        <v>1365</v>
      </c>
      <c r="E1351" s="867" t="s">
        <v>1806</v>
      </c>
      <c r="F1351" s="1480"/>
      <c r="G1351" s="1480"/>
      <c r="H1351" s="1480"/>
      <c r="I1351" s="1427" t="str">
        <f t="shared" si="223"/>
        <v>Minimum Units</v>
      </c>
      <c r="J1351" s="1480" t="str">
        <f t="shared" si="221"/>
        <v>F</v>
      </c>
      <c r="K1351" s="1480" t="str">
        <f t="shared" si="222"/>
        <v>Incentives</v>
      </c>
      <c r="L1351" s="1480"/>
      <c r="M1351" s="1480"/>
      <c r="N1351" s="1480"/>
      <c r="O1351" s="1477"/>
      <c r="P1351" s="1477"/>
      <c r="Q1351" s="1477"/>
      <c r="R1351" s="1480" t="s">
        <v>1544</v>
      </c>
      <c r="S1351" s="1477"/>
      <c r="T1351" s="1477"/>
      <c r="U1351" s="1477"/>
      <c r="V1351" s="1477"/>
      <c r="W1351" s="1477"/>
      <c r="X1351" s="1477"/>
      <c r="Y1351" s="1477"/>
      <c r="Z1351" s="1477"/>
    </row>
    <row r="1352" spans="1:26" hidden="1" x14ac:dyDescent="0.25">
      <c r="A1352" s="1182" t="s">
        <v>1403</v>
      </c>
      <c r="B1352" s="1427" t="str">
        <f>IFERROR(_xlfn.CONCAT("G",('Configurable Tab'!$C$6+6)),"")</f>
        <v>G60</v>
      </c>
      <c r="C1352" s="1427" t="str">
        <f>IFERROR(_xlfn.CONCAT("G",('Configurable Tab'!$C$6+11)),"")</f>
        <v>G65</v>
      </c>
      <c r="D1352" s="1480" t="s">
        <v>1365</v>
      </c>
      <c r="E1352" s="867" t="s">
        <v>1806</v>
      </c>
      <c r="F1352" s="1480"/>
      <c r="G1352" s="1480"/>
      <c r="H1352" s="1480"/>
      <c r="I1352" s="1427" t="str">
        <f t="shared" si="223"/>
        <v>Minimum Units</v>
      </c>
      <c r="J1352" s="1480" t="str">
        <f t="shared" si="221"/>
        <v>F</v>
      </c>
      <c r="K1352" s="1480" t="str">
        <f t="shared" si="222"/>
        <v>Incentives</v>
      </c>
      <c r="L1352" s="1480"/>
      <c r="M1352" s="1480"/>
      <c r="N1352" s="1480"/>
      <c r="O1352" s="1477"/>
      <c r="P1352" s="1477"/>
      <c r="Q1352" s="1477"/>
      <c r="R1352" s="1480" t="s">
        <v>1544</v>
      </c>
      <c r="S1352" s="1477"/>
      <c r="T1352" s="1477"/>
      <c r="U1352" s="1477"/>
      <c r="V1352" s="1477"/>
      <c r="W1352" s="1477"/>
      <c r="X1352" s="1477"/>
      <c r="Y1352" s="1477"/>
      <c r="Z1352" s="1477"/>
    </row>
    <row r="1353" spans="1:26" hidden="1" x14ac:dyDescent="0.25">
      <c r="A1353" s="1182" t="s">
        <v>1405</v>
      </c>
      <c r="B1353" s="1427" t="str">
        <f>IFERROR(_xlfn.CONCAT("K",('Configurable Tab'!$C$6+6)),"")</f>
        <v>K60</v>
      </c>
      <c r="C1353" s="1427" t="str">
        <f>IFERROR(_xlfn.CONCAT("K",('Configurable Tab'!$C$6+7)),"")</f>
        <v>K61</v>
      </c>
      <c r="D1353" s="1480" t="s">
        <v>1365</v>
      </c>
      <c r="E1353" s="867" t="s">
        <v>1806</v>
      </c>
      <c r="F1353" s="1480"/>
      <c r="G1353" s="1480"/>
      <c r="H1353" s="1480"/>
      <c r="I1353" s="1427" t="str">
        <f t="shared" si="223"/>
        <v>Rate % of Sales</v>
      </c>
      <c r="J1353" s="1480" t="str">
        <f t="shared" si="221"/>
        <v>F669</v>
      </c>
      <c r="K1353" s="1480" t="str">
        <f t="shared" si="222"/>
        <v>Incentives</v>
      </c>
      <c r="L1353" s="1480"/>
      <c r="M1353" s="1480"/>
      <c r="N1353" s="1480"/>
      <c r="O1353" s="1477"/>
      <c r="P1353" s="1477"/>
      <c r="Q1353" s="1477"/>
      <c r="R1353" s="1480" t="s">
        <v>1544</v>
      </c>
      <c r="S1353" s="1482" t="s">
        <v>1814</v>
      </c>
      <c r="T1353" s="1477"/>
      <c r="U1353" s="1480">
        <f>IF(Q$670="Yes",M686,"")</f>
        <v>669</v>
      </c>
      <c r="V1353" s="1480" t="str">
        <f>IF(Q$688="Yes",M704,"")</f>
        <v/>
      </c>
      <c r="W1353" s="1477"/>
      <c r="X1353" s="1477"/>
      <c r="Y1353" s="1477"/>
      <c r="Z1353" s="1477"/>
    </row>
    <row r="1354" spans="1:26" hidden="1" x14ac:dyDescent="0.25">
      <c r="A1354" s="1182" t="s">
        <v>1405</v>
      </c>
      <c r="B1354" s="1427" t="str">
        <f>IFERROR(_xlfn.CONCAT("K",('Configurable Tab'!$C$6+6)),"")</f>
        <v>K60</v>
      </c>
      <c r="C1354" s="1427" t="str">
        <f>IFERROR(_xlfn.CONCAT("K",('Configurable Tab'!$C$6+8)),"")</f>
        <v>K62</v>
      </c>
      <c r="D1354" s="1480" t="s">
        <v>1365</v>
      </c>
      <c r="E1354" s="867" t="s">
        <v>1806</v>
      </c>
      <c r="F1354" s="1480"/>
      <c r="G1354" s="1480"/>
      <c r="H1354" s="1480"/>
      <c r="I1354" s="1427" t="str">
        <f t="shared" si="223"/>
        <v>Rate % of Sales</v>
      </c>
      <c r="J1354" s="1480" t="str">
        <f t="shared" si="221"/>
        <v>F</v>
      </c>
      <c r="K1354" s="1480" t="str">
        <f t="shared" si="222"/>
        <v>Incentives</v>
      </c>
      <c r="L1354" s="1480"/>
      <c r="M1354" s="1480"/>
      <c r="N1354" s="1480"/>
      <c r="O1354" s="1477"/>
      <c r="P1354" s="1477"/>
      <c r="Q1354" s="1477"/>
      <c r="R1354" s="1480" t="s">
        <v>1544</v>
      </c>
      <c r="S1354" s="1477"/>
      <c r="T1354" s="1477"/>
      <c r="U1354" s="1477"/>
      <c r="V1354" s="1477"/>
      <c r="W1354" s="1477"/>
      <c r="X1354" s="1477"/>
      <c r="Y1354" s="1477"/>
      <c r="Z1354" s="1477"/>
    </row>
    <row r="1355" spans="1:26" hidden="1" x14ac:dyDescent="0.25">
      <c r="A1355" s="1182" t="s">
        <v>1405</v>
      </c>
      <c r="B1355" s="1427" t="str">
        <f>IFERROR(_xlfn.CONCAT("K",('Configurable Tab'!$C$6+6)),"")</f>
        <v>K60</v>
      </c>
      <c r="C1355" s="1427" t="str">
        <f>IFERROR(_xlfn.CONCAT("K",('Configurable Tab'!$C$6+9)),"")</f>
        <v>K63</v>
      </c>
      <c r="D1355" s="1480" t="s">
        <v>1365</v>
      </c>
      <c r="E1355" s="867" t="s">
        <v>1806</v>
      </c>
      <c r="F1355" s="1480"/>
      <c r="G1355" s="1480"/>
      <c r="H1355" s="1480"/>
      <c r="I1355" s="1427" t="str">
        <f t="shared" si="223"/>
        <v>Rate % of Sales</v>
      </c>
      <c r="J1355" s="1480" t="str">
        <f t="shared" si="221"/>
        <v>F</v>
      </c>
      <c r="K1355" s="1480" t="str">
        <f t="shared" si="222"/>
        <v>Incentives</v>
      </c>
      <c r="L1355" s="1480"/>
      <c r="M1355" s="1480"/>
      <c r="N1355" s="1480"/>
      <c r="O1355" s="1477"/>
      <c r="P1355" s="1477"/>
      <c r="Q1355" s="1477"/>
      <c r="R1355" s="1480" t="s">
        <v>1544</v>
      </c>
      <c r="S1355" s="1477"/>
      <c r="T1355" s="1477"/>
      <c r="U1355" s="1477"/>
      <c r="V1355" s="1477"/>
      <c r="W1355" s="1477"/>
      <c r="X1355" s="1477"/>
      <c r="Y1355" s="1477"/>
      <c r="Z1355" s="1477"/>
    </row>
    <row r="1356" spans="1:26" hidden="1" x14ac:dyDescent="0.25">
      <c r="A1356" s="1182" t="s">
        <v>1405</v>
      </c>
      <c r="B1356" s="1427" t="str">
        <f>IFERROR(_xlfn.CONCAT("K",('Configurable Tab'!$C$6+6)),"")</f>
        <v>K60</v>
      </c>
      <c r="C1356" s="1427" t="str">
        <f>IFERROR(_xlfn.CONCAT("K",('Configurable Tab'!$C$6+10)),"")</f>
        <v>K64</v>
      </c>
      <c r="D1356" s="1480" t="s">
        <v>1365</v>
      </c>
      <c r="E1356" s="867" t="s">
        <v>1806</v>
      </c>
      <c r="F1356" s="1480"/>
      <c r="G1356" s="1480"/>
      <c r="H1356" s="1480"/>
      <c r="I1356" s="1427" t="str">
        <f t="shared" si="223"/>
        <v>Rate % of Sales</v>
      </c>
      <c r="J1356" s="1480" t="str">
        <f t="shared" si="221"/>
        <v>F</v>
      </c>
      <c r="K1356" s="1480" t="str">
        <f t="shared" si="222"/>
        <v>Incentives</v>
      </c>
      <c r="L1356" s="1480"/>
      <c r="M1356" s="1480"/>
      <c r="N1356" s="1480"/>
      <c r="O1356" s="1477"/>
      <c r="P1356" s="1477"/>
      <c r="Q1356" s="1477"/>
      <c r="R1356" s="1480" t="s">
        <v>1544</v>
      </c>
      <c r="S1356" s="1477"/>
      <c r="T1356" s="1477"/>
      <c r="U1356" s="1477"/>
      <c r="V1356" s="1477"/>
      <c r="W1356" s="1477"/>
      <c r="X1356" s="1477"/>
      <c r="Y1356" s="1477"/>
      <c r="Z1356" s="1477"/>
    </row>
    <row r="1357" spans="1:26" hidden="1" x14ac:dyDescent="0.25">
      <c r="A1357" s="1182" t="s">
        <v>1405</v>
      </c>
      <c r="B1357" s="1427" t="str">
        <f>IFERROR(_xlfn.CONCAT("K",('Configurable Tab'!$C$6+6)),"")</f>
        <v>K60</v>
      </c>
      <c r="C1357" s="1427" t="str">
        <f>IFERROR(_xlfn.CONCAT("K",('Configurable Tab'!$C$6+11)),"")</f>
        <v>K65</v>
      </c>
      <c r="D1357" s="1480" t="s">
        <v>1365</v>
      </c>
      <c r="E1357" s="867" t="s">
        <v>1806</v>
      </c>
      <c r="F1357" s="1480"/>
      <c r="G1357" s="1480"/>
      <c r="H1357" s="1480"/>
      <c r="I1357" s="1427" t="str">
        <f t="shared" si="223"/>
        <v>Rate % of Sales</v>
      </c>
      <c r="J1357" s="1480" t="str">
        <f t="shared" si="221"/>
        <v>F</v>
      </c>
      <c r="K1357" s="1480" t="str">
        <f t="shared" si="222"/>
        <v>Incentives</v>
      </c>
      <c r="L1357" s="1480"/>
      <c r="M1357" s="1480"/>
      <c r="N1357" s="1480"/>
      <c r="O1357" s="1477"/>
      <c r="P1357" s="1477"/>
      <c r="Q1357" s="1477"/>
      <c r="R1357" s="1480" t="s">
        <v>1544</v>
      </c>
      <c r="S1357" s="1477"/>
      <c r="T1357" s="1477"/>
      <c r="U1357" s="1477"/>
      <c r="V1357" s="1477"/>
      <c r="W1357" s="1477"/>
      <c r="X1357" s="1477"/>
      <c r="Y1357" s="1477"/>
      <c r="Z1357" s="1477"/>
    </row>
    <row r="1358" spans="1:26" hidden="1" x14ac:dyDescent="0.25">
      <c r="A1358" s="1183" t="s">
        <v>526</v>
      </c>
      <c r="B1358" s="1427" t="str">
        <f>IFERROR(_xlfn.CONCAT("D",('Configurable Tab'!$C$7+1)),"")</f>
        <v>D69</v>
      </c>
      <c r="C1358" s="1427" t="str">
        <f>IFERROR(_xlfn.CONCAT("E",('Configurable Tab'!$C$7+1)),"")</f>
        <v>E69</v>
      </c>
      <c r="D1358" s="1480" t="s">
        <v>1365</v>
      </c>
      <c r="E1358" s="867" t="s">
        <v>1806</v>
      </c>
      <c r="F1358" s="1480"/>
      <c r="G1358" s="1480"/>
      <c r="H1358" s="1480"/>
      <c r="I1358" s="1427" t="str">
        <f t="shared" si="223"/>
        <v>Offer this Incentive?</v>
      </c>
      <c r="J1358" s="1480" t="str">
        <f>$Q$1&amp;IF(T$1340=2,V1340,IF(T$1340=1,IF(AND(T$1358=1,T$1358&lt;&gt;0),U1358,""),IF(T$1358=2,V1358,"")))</f>
        <v>F</v>
      </c>
      <c r="K1358" s="1480" t="str">
        <f t="shared" si="222"/>
        <v>Incentives</v>
      </c>
      <c r="L1358" s="1480"/>
      <c r="M1358" s="1480"/>
      <c r="N1358" s="1480"/>
      <c r="O1358" s="1477" t="s">
        <v>1707</v>
      </c>
      <c r="P1358" s="1477"/>
      <c r="Q1358" s="1427" t="str">
        <f>IFERROR(_xlfn.CONCAT("C",('Configurable Tab'!$C7+1)),"")</f>
        <v>C69</v>
      </c>
      <c r="R1358" s="1480" t="s">
        <v>1544</v>
      </c>
      <c r="S1358" s="1482" t="s">
        <v>1815</v>
      </c>
      <c r="T1358" s="1480">
        <f>IF(Q$706="Yes",IF(Q$736="Yes",2,1),0)</f>
        <v>0</v>
      </c>
      <c r="U1358" s="1480" t="str">
        <f>IF(Q$706="Yes",M706,"")</f>
        <v/>
      </c>
      <c r="V1358" s="1480" t="str">
        <f>IF(Q$736="Yes",M736,"")</f>
        <v/>
      </c>
      <c r="W1358" s="1477"/>
      <c r="X1358" s="1477"/>
      <c r="Y1358" s="1477"/>
      <c r="Z1358" s="1477"/>
    </row>
    <row r="1359" spans="1:26" hidden="1" x14ac:dyDescent="0.25">
      <c r="A1359" s="1184" t="s">
        <v>1399</v>
      </c>
      <c r="B1359" s="1427" t="str">
        <f>IFERROR(_xlfn.CONCAT("D",('Configurable Tab'!$C$7+2)),"")</f>
        <v>D70</v>
      </c>
      <c r="C1359" s="1427" t="str">
        <f>IFERROR(_xlfn.CONCAT("E",('Configurable Tab'!$C$7+2)),"")</f>
        <v>E70</v>
      </c>
      <c r="D1359" s="1480" t="s">
        <v>1365</v>
      </c>
      <c r="E1359" s="867" t="s">
        <v>1806</v>
      </c>
      <c r="F1359" s="1480"/>
      <c r="G1359" s="1480"/>
      <c r="H1359" s="1480"/>
      <c r="I1359" s="1427" t="str">
        <f t="shared" si="223"/>
        <v>Incentive Type</v>
      </c>
      <c r="J1359" s="1480" t="str">
        <f t="shared" ref="J1359:J1375" si="224">$Q$1&amp;IF(T$1340=2,V1341,IF(T$1340=1,IF(AND(T$1358=1,T$1358&lt;&gt;0),U1359,""),IF(T$1358=2,V1359,"")))</f>
        <v>F</v>
      </c>
      <c r="K1359" s="1480" t="str">
        <f t="shared" si="222"/>
        <v>Incentives</v>
      </c>
      <c r="L1359" s="1480"/>
      <c r="M1359" s="1480"/>
      <c r="N1359" s="1480"/>
      <c r="O1359" s="1477"/>
      <c r="P1359" s="1477"/>
      <c r="Q1359" s="1477"/>
      <c r="R1359" s="1480" t="s">
        <v>1544</v>
      </c>
      <c r="S1359" s="1482" t="s">
        <v>1815</v>
      </c>
      <c r="T1359" s="1477"/>
      <c r="U1359" s="1480" t="str">
        <f>IF(Q$706="Yes",M707,"")</f>
        <v/>
      </c>
      <c r="V1359" s="1480" t="str">
        <f>IF(Q$736="Yes",M737,"")</f>
        <v/>
      </c>
      <c r="W1359" s="1477"/>
      <c r="X1359" s="1477"/>
      <c r="Y1359" s="1477"/>
      <c r="Z1359" s="1477"/>
    </row>
    <row r="1360" spans="1:26" hidden="1" x14ac:dyDescent="0.25">
      <c r="A1360" s="1184" t="s">
        <v>1401</v>
      </c>
      <c r="B1360" s="1427" t="str">
        <f>IFERROR(_xlfn.CONCAT("D",('Configurable Tab'!$C$7+4)),"")</f>
        <v>D72</v>
      </c>
      <c r="C1360" s="1427" t="str">
        <f>IFERROR(_xlfn.CONCAT("E",('Configurable Tab'!$C$7+4)),"")</f>
        <v>E72</v>
      </c>
      <c r="D1360" s="1480" t="s">
        <v>1365</v>
      </c>
      <c r="E1360" s="867" t="s">
        <v>1806</v>
      </c>
      <c r="F1360" s="1480"/>
      <c r="G1360" s="1480"/>
      <c r="H1360" s="1480"/>
      <c r="I1360" s="1427" t="str">
        <f t="shared" si="223"/>
        <v>Incentive Effective Date</v>
      </c>
      <c r="J1360" s="1480" t="str">
        <f t="shared" si="224"/>
        <v>F</v>
      </c>
      <c r="K1360" s="1480" t="str">
        <f t="shared" si="222"/>
        <v>Incentives</v>
      </c>
      <c r="L1360" s="1480"/>
      <c r="M1360" s="1480"/>
      <c r="N1360" s="1480"/>
      <c r="O1360" s="1477"/>
      <c r="P1360" s="1477"/>
      <c r="Q1360" s="1477"/>
      <c r="R1360" s="1480" t="s">
        <v>1544</v>
      </c>
      <c r="S1360" s="1482" t="s">
        <v>1815</v>
      </c>
      <c r="T1360" s="1477"/>
      <c r="U1360" s="1480" t="str">
        <f>IF(Q$706="Yes",M715,"")</f>
        <v/>
      </c>
      <c r="V1360" s="1480" t="str">
        <f>IF(Q$736="Yes",M745,"")</f>
        <v/>
      </c>
      <c r="W1360" s="1477"/>
      <c r="X1360" s="1477"/>
      <c r="Y1360" s="1477"/>
      <c r="Z1360" s="1477"/>
    </row>
    <row r="1361" spans="1:26" hidden="1" x14ac:dyDescent="0.25">
      <c r="A1361" s="1184" t="s">
        <v>1402</v>
      </c>
      <c r="B1361" s="1427" t="str">
        <f>IFERROR(_xlfn.CONCAT("D",('Configurable Tab'!$C$7+5)),"")</f>
        <v>D73</v>
      </c>
      <c r="C1361" s="1427" t="str">
        <f>IFERROR(_xlfn.CONCAT("E",('Configurable Tab'!$C$7+5)),"")</f>
        <v>E73</v>
      </c>
      <c r="D1361" s="1480" t="s">
        <v>1365</v>
      </c>
      <c r="E1361" s="867" t="s">
        <v>1806</v>
      </c>
      <c r="F1361" s="1480"/>
      <c r="G1361" s="1480"/>
      <c r="H1361" s="1480"/>
      <c r="I1361" s="1427" t="str">
        <f t="shared" si="223"/>
        <v>Incentive Expiration Date</v>
      </c>
      <c r="J1361" s="1480" t="str">
        <f t="shared" si="224"/>
        <v>F</v>
      </c>
      <c r="K1361" s="1480" t="str">
        <f t="shared" si="222"/>
        <v>Incentives</v>
      </c>
      <c r="L1361" s="1480"/>
      <c r="M1361" s="1480"/>
      <c r="N1361" s="1480"/>
      <c r="O1361" s="1477"/>
      <c r="P1361" s="1477"/>
      <c r="Q1361" s="1477"/>
      <c r="R1361" s="1480" t="s">
        <v>1544</v>
      </c>
      <c r="S1361" s="1482" t="s">
        <v>1815</v>
      </c>
      <c r="T1361" s="1477"/>
      <c r="U1361" s="1480" t="str">
        <f>IF(Q$706="Yes",M716,"")</f>
        <v/>
      </c>
      <c r="V1361" s="1480" t="str">
        <f>IF(Q$736="Yes",M746,"")</f>
        <v/>
      </c>
      <c r="W1361" s="1477"/>
      <c r="X1361" s="1477"/>
      <c r="Y1361" s="1477"/>
      <c r="Z1361" s="1477"/>
    </row>
    <row r="1362" spans="1:26" hidden="1" x14ac:dyDescent="0.25">
      <c r="A1362" s="1184" t="s">
        <v>1396</v>
      </c>
      <c r="B1362" s="1427" t="str">
        <f>IFERROR(_xlfn.CONCAT("G",('Configurable Tab'!$C$7+1)),"")</f>
        <v>G69</v>
      </c>
      <c r="C1362" s="1427" t="str">
        <f>IFERROR(_xlfn.CONCAT("G",('Configurable Tab'!$C$7+2)),"")</f>
        <v>G70</v>
      </c>
      <c r="D1362" s="1480" t="s">
        <v>1365</v>
      </c>
      <c r="E1362" s="867" t="s">
        <v>1806</v>
      </c>
      <c r="F1362" s="1480"/>
      <c r="G1362" s="1480"/>
      <c r="H1362" s="1480"/>
      <c r="I1362" s="1427" t="str">
        <f t="shared" si="223"/>
        <v>Incentive Period</v>
      </c>
      <c r="J1362" s="1480" t="str">
        <f t="shared" si="224"/>
        <v>F</v>
      </c>
      <c r="K1362" s="1480" t="str">
        <f t="shared" si="222"/>
        <v>Incentives</v>
      </c>
      <c r="L1362" s="1480"/>
      <c r="M1362" s="1480"/>
      <c r="N1362" s="1480"/>
      <c r="O1362" s="1477"/>
      <c r="P1362" s="1477"/>
      <c r="Q1362" s="1477"/>
      <c r="R1362" s="1480" t="s">
        <v>1544</v>
      </c>
      <c r="S1362" s="1482" t="s">
        <v>1815</v>
      </c>
      <c r="T1362" s="1477"/>
      <c r="U1362" s="1480" t="str">
        <f>IF(Q$706="Yes",M708,"")</f>
        <v/>
      </c>
      <c r="V1362" s="1480" t="str">
        <f>IF(Q$736="Yes",M738,"")</f>
        <v/>
      </c>
      <c r="W1362" s="1477"/>
      <c r="X1362" s="1477"/>
      <c r="Y1362" s="1477"/>
      <c r="Z1362" s="1477"/>
    </row>
    <row r="1363" spans="1:26" hidden="1" x14ac:dyDescent="0.25">
      <c r="A1363" s="1184" t="s">
        <v>1397</v>
      </c>
      <c r="B1363" s="1427" t="str">
        <f>IFERROR(_xlfn.CONCAT("I",('Configurable Tab'!$C$7+1)),"")</f>
        <v>I69</v>
      </c>
      <c r="C1363" s="1427" t="str">
        <f>IFERROR(_xlfn.CONCAT("I",('Configurable Tab'!$C$7+2)),"")</f>
        <v>I70</v>
      </c>
      <c r="D1363" s="1480" t="s">
        <v>1365</v>
      </c>
      <c r="E1363" s="867" t="s">
        <v>1806</v>
      </c>
      <c r="F1363" s="1480"/>
      <c r="G1363" s="1480"/>
      <c r="H1363" s="1480"/>
      <c r="I1363" s="1427" t="str">
        <f t="shared" si="223"/>
        <v>Payment Method</v>
      </c>
      <c r="J1363" s="1480" t="str">
        <f t="shared" si="224"/>
        <v>F</v>
      </c>
      <c r="K1363" s="1480" t="str">
        <f t="shared" si="222"/>
        <v>Incentives</v>
      </c>
      <c r="L1363" s="1480"/>
      <c r="M1363" s="1480"/>
      <c r="N1363" s="1480"/>
      <c r="O1363" s="1477"/>
      <c r="P1363" s="1477"/>
      <c r="Q1363" s="1477"/>
      <c r="R1363" s="1480" t="s">
        <v>1544</v>
      </c>
      <c r="S1363" s="1482" t="s">
        <v>1815</v>
      </c>
      <c r="T1363" s="1477"/>
      <c r="U1363" s="1480" t="str">
        <f>IF(Q$706="Yes",M709,"")</f>
        <v/>
      </c>
      <c r="V1363" s="1480" t="str">
        <f>IF(Q$736="Yes",M739,"")</f>
        <v/>
      </c>
      <c r="W1363" s="1477"/>
      <c r="X1363" s="1477"/>
      <c r="Y1363" s="1477"/>
      <c r="Z1363" s="1477"/>
    </row>
    <row r="1364" spans="1:26" hidden="1" x14ac:dyDescent="0.25">
      <c r="A1364" s="1184" t="s">
        <v>839</v>
      </c>
      <c r="B1364" s="1427" t="str">
        <f>IFERROR(_xlfn.CONCAT("K",('Configurable Tab'!$C$7+1)),"")</f>
        <v>K69</v>
      </c>
      <c r="C1364" s="1427" t="str">
        <f>IFERROR(_xlfn.CONCAT("K",('Configurable Tab'!$C$7+2)),"")</f>
        <v>K70</v>
      </c>
      <c r="D1364" s="1480" t="s">
        <v>1365</v>
      </c>
      <c r="E1364" s="867" t="s">
        <v>1806</v>
      </c>
      <c r="F1364" s="1480"/>
      <c r="G1364" s="1480"/>
      <c r="H1364" s="1480"/>
      <c r="I1364" s="1427" t="str">
        <f t="shared" si="223"/>
        <v>Paid to:</v>
      </c>
      <c r="J1364" s="1480" t="str">
        <f t="shared" si="224"/>
        <v>F</v>
      </c>
      <c r="K1364" s="1480" t="str">
        <f t="shared" si="222"/>
        <v>Incentives</v>
      </c>
      <c r="L1364" s="1480"/>
      <c r="M1364" s="1480"/>
      <c r="N1364" s="1480"/>
      <c r="O1364" s="1477"/>
      <c r="P1364" s="1477"/>
      <c r="Q1364" s="1477"/>
      <c r="R1364" s="1480" t="s">
        <v>1544</v>
      </c>
      <c r="S1364" s="1482" t="s">
        <v>1815</v>
      </c>
      <c r="T1364" s="1477"/>
      <c r="U1364" s="1480" t="str">
        <f>IF(Q$706="Yes",M710,"")</f>
        <v/>
      </c>
      <c r="V1364" s="1480" t="str">
        <f>IF(Q$736="Yes",M740,"")</f>
        <v/>
      </c>
      <c r="W1364" s="1477"/>
      <c r="X1364" s="1477"/>
      <c r="Y1364" s="1477"/>
      <c r="Z1364" s="1477"/>
    </row>
    <row r="1365" spans="1:26" hidden="1" x14ac:dyDescent="0.25">
      <c r="A1365" s="1184" t="s">
        <v>1398</v>
      </c>
      <c r="B1365" s="1427" t="str">
        <f>IFERROR(_xlfn.CONCAT("M",('Configurable Tab'!$C$7+1)),"")</f>
        <v>M69</v>
      </c>
      <c r="C1365" s="1427" t="str">
        <f>IFERROR(_xlfn.CONCAT("M",('Configurable Tab'!$C$7+2)),"")</f>
        <v>M70</v>
      </c>
      <c r="D1365" s="1480" t="s">
        <v>1365</v>
      </c>
      <c r="E1365" s="867" t="s">
        <v>1806</v>
      </c>
      <c r="F1365" s="1480"/>
      <c r="G1365" s="1480"/>
      <c r="H1365" s="1480"/>
      <c r="I1365" s="1427" t="str">
        <f t="shared" si="223"/>
        <v>AP/AR Vendor Number</v>
      </c>
      <c r="J1365" s="1480" t="str">
        <f t="shared" si="224"/>
        <v>F</v>
      </c>
      <c r="K1365" s="1480" t="str">
        <f t="shared" si="222"/>
        <v>Incentives</v>
      </c>
      <c r="L1365" s="1480"/>
      <c r="M1365" s="1480"/>
      <c r="N1365" s="1480"/>
      <c r="O1365" s="1477"/>
      <c r="P1365" s="1477"/>
      <c r="Q1365" s="1477"/>
      <c r="R1365" s="1480" t="s">
        <v>1544</v>
      </c>
      <c r="S1365" s="1482" t="s">
        <v>1815</v>
      </c>
      <c r="T1365" s="1477"/>
      <c r="U1365" s="1480" t="str">
        <f>IF(Q$706="Yes",M711,"")</f>
        <v/>
      </c>
      <c r="V1365" s="1480" t="str">
        <f>IF(Q$736="Yes",M741,"")</f>
        <v/>
      </c>
      <c r="W1365" s="1477"/>
      <c r="X1365" s="1477"/>
      <c r="Y1365" s="1477"/>
      <c r="Z1365" s="1477"/>
    </row>
    <row r="1366" spans="1:26" hidden="1" x14ac:dyDescent="0.25">
      <c r="A1366" s="1184" t="s">
        <v>1403</v>
      </c>
      <c r="B1366" s="1427" t="str">
        <f>IFERROR(_xlfn.CONCAT("G",('Configurable Tab'!$C$7+6)),"")</f>
        <v>G74</v>
      </c>
      <c r="C1366" s="1427" t="str">
        <f>IFERROR(_xlfn.CONCAT("G",('Configurable Tab'!$C$7+7)),"")</f>
        <v>G75</v>
      </c>
      <c r="D1366" s="1480" t="s">
        <v>1365</v>
      </c>
      <c r="E1366" s="867" t="s">
        <v>1806</v>
      </c>
      <c r="F1366" s="1480"/>
      <c r="G1366" s="1480"/>
      <c r="H1366" s="1480"/>
      <c r="I1366" s="1427" t="str">
        <f t="shared" si="223"/>
        <v>Minimum Units</v>
      </c>
      <c r="J1366" s="1480" t="str">
        <f t="shared" si="224"/>
        <v>F</v>
      </c>
      <c r="K1366" s="1480" t="str">
        <f t="shared" si="222"/>
        <v>Incentives</v>
      </c>
      <c r="L1366" s="1480"/>
      <c r="M1366" s="1480"/>
      <c r="N1366" s="1480"/>
      <c r="O1366" s="1477"/>
      <c r="P1366" s="1477"/>
      <c r="Q1366" s="1477"/>
      <c r="R1366" s="1480" t="s">
        <v>1544</v>
      </c>
      <c r="S1366" s="1482" t="s">
        <v>1815</v>
      </c>
      <c r="T1366" s="1477"/>
      <c r="U1366" s="1480" t="str">
        <f>IF(Q$706="Yes",M720,"")</f>
        <v/>
      </c>
      <c r="V1366" s="1480" t="str">
        <f>IF(Q$736="Yes",M750,"")</f>
        <v/>
      </c>
      <c r="W1366" s="1477"/>
      <c r="X1366" s="1477"/>
      <c r="Y1366" s="1477"/>
      <c r="Z1366" s="1477"/>
    </row>
    <row r="1367" spans="1:26" hidden="1" x14ac:dyDescent="0.25">
      <c r="A1367" s="1184" t="s">
        <v>1403</v>
      </c>
      <c r="B1367" s="1427" t="str">
        <f>IFERROR(_xlfn.CONCAT("G",('Configurable Tab'!$C$7+6)),"")</f>
        <v>G74</v>
      </c>
      <c r="C1367" s="1427" t="str">
        <f>IFERROR(_xlfn.CONCAT("G",('Configurable Tab'!$C$7+8)),"")</f>
        <v>G76</v>
      </c>
      <c r="D1367" s="1480" t="s">
        <v>1365</v>
      </c>
      <c r="E1367" s="867" t="s">
        <v>1806</v>
      </c>
      <c r="F1367" s="1480"/>
      <c r="G1367" s="1480"/>
      <c r="H1367" s="1480"/>
      <c r="I1367" s="1427" t="str">
        <f t="shared" si="223"/>
        <v>Minimum Units</v>
      </c>
      <c r="J1367" s="1480" t="str">
        <f t="shared" si="224"/>
        <v>F</v>
      </c>
      <c r="K1367" s="1480" t="str">
        <f t="shared" si="222"/>
        <v>Incentives</v>
      </c>
      <c r="L1367" s="1480"/>
      <c r="M1367" s="1480"/>
      <c r="N1367" s="1480"/>
      <c r="O1367" s="1477"/>
      <c r="P1367" s="1477"/>
      <c r="Q1367" s="1477"/>
      <c r="R1367" s="1480" t="s">
        <v>1544</v>
      </c>
      <c r="S1367" s="1482" t="s">
        <v>1815</v>
      </c>
      <c r="T1367" s="1477"/>
      <c r="U1367" s="1480" t="str">
        <f>IF(Q$706="Yes",M723,"")</f>
        <v/>
      </c>
      <c r="V1367" s="1480" t="str">
        <f>IF(Q$736="Yes",M753,"")</f>
        <v/>
      </c>
      <c r="W1367" s="1477"/>
      <c r="X1367" s="1477"/>
      <c r="Y1367" s="1477"/>
      <c r="Z1367" s="1477"/>
    </row>
    <row r="1368" spans="1:26" hidden="1" x14ac:dyDescent="0.25">
      <c r="A1368" s="1184" t="s">
        <v>1403</v>
      </c>
      <c r="B1368" s="1427" t="str">
        <f>IFERROR(_xlfn.CONCAT("G",('Configurable Tab'!$C$7+6)),"")</f>
        <v>G74</v>
      </c>
      <c r="C1368" s="1427" t="str">
        <f>IFERROR(_xlfn.CONCAT("G",('Configurable Tab'!$C$7+9)),"")</f>
        <v>G77</v>
      </c>
      <c r="D1368" s="1480" t="s">
        <v>1365</v>
      </c>
      <c r="E1368" s="867" t="s">
        <v>1806</v>
      </c>
      <c r="F1368" s="1480"/>
      <c r="G1368" s="1480"/>
      <c r="H1368" s="1480"/>
      <c r="I1368" s="1427" t="str">
        <f t="shared" si="223"/>
        <v>Minimum Units</v>
      </c>
      <c r="J1368" s="1480" t="str">
        <f t="shared" si="224"/>
        <v>F</v>
      </c>
      <c r="K1368" s="1480" t="str">
        <f t="shared" si="222"/>
        <v>Incentives</v>
      </c>
      <c r="L1368" s="1480"/>
      <c r="M1368" s="1480"/>
      <c r="N1368" s="1480"/>
      <c r="O1368" s="1477"/>
      <c r="P1368" s="1477"/>
      <c r="Q1368" s="1477"/>
      <c r="R1368" s="1480" t="s">
        <v>1544</v>
      </c>
      <c r="S1368" s="1482" t="s">
        <v>1815</v>
      </c>
      <c r="T1368" s="1477"/>
      <c r="U1368" s="1480" t="str">
        <f>IF(Q$706="Yes",M726,"")</f>
        <v/>
      </c>
      <c r="V1368" s="1480" t="str">
        <f>IF(Q$736="Yes",M756,"")</f>
        <v/>
      </c>
      <c r="W1368" s="1477"/>
      <c r="X1368" s="1477"/>
      <c r="Y1368" s="1477"/>
      <c r="Z1368" s="1477"/>
    </row>
    <row r="1369" spans="1:26" hidden="1" x14ac:dyDescent="0.25">
      <c r="A1369" s="1184" t="s">
        <v>1403</v>
      </c>
      <c r="B1369" s="1427" t="str">
        <f>IFERROR(_xlfn.CONCAT("G",('Configurable Tab'!$C$7+6)),"")</f>
        <v>G74</v>
      </c>
      <c r="C1369" s="1427" t="str">
        <f>IFERROR(_xlfn.CONCAT("G",('Configurable Tab'!$C$7+10)),"")</f>
        <v>G78</v>
      </c>
      <c r="D1369" s="1480" t="s">
        <v>1365</v>
      </c>
      <c r="E1369" s="867" t="s">
        <v>1806</v>
      </c>
      <c r="F1369" s="1480"/>
      <c r="G1369" s="1480"/>
      <c r="H1369" s="1480"/>
      <c r="I1369" s="1427" t="str">
        <f t="shared" si="223"/>
        <v>Minimum Units</v>
      </c>
      <c r="J1369" s="1480" t="str">
        <f t="shared" si="224"/>
        <v>F</v>
      </c>
      <c r="K1369" s="1480" t="str">
        <f t="shared" si="222"/>
        <v>Incentives</v>
      </c>
      <c r="L1369" s="1480"/>
      <c r="M1369" s="1480"/>
      <c r="N1369" s="1480"/>
      <c r="O1369" s="1477"/>
      <c r="P1369" s="1477"/>
      <c r="Q1369" s="1477"/>
      <c r="R1369" s="1480" t="s">
        <v>1544</v>
      </c>
      <c r="S1369" s="1482" t="s">
        <v>1815</v>
      </c>
      <c r="T1369" s="1477"/>
      <c r="U1369" s="1480" t="str">
        <f>IF(Q$706="Yes",M729,"")</f>
        <v/>
      </c>
      <c r="V1369" s="1480" t="str">
        <f>IF(Q$736="Yes",M759,"")</f>
        <v/>
      </c>
      <c r="W1369" s="1477"/>
      <c r="X1369" s="1477"/>
      <c r="Y1369" s="1477"/>
      <c r="Z1369" s="1477"/>
    </row>
    <row r="1370" spans="1:26" hidden="1" x14ac:dyDescent="0.25">
      <c r="A1370" s="1184" t="s">
        <v>1403</v>
      </c>
      <c r="B1370" s="1427" t="str">
        <f>IFERROR(_xlfn.CONCAT("G",('Configurable Tab'!$C$7+6)),"")</f>
        <v>G74</v>
      </c>
      <c r="C1370" s="1427" t="str">
        <f>IFERROR(_xlfn.CONCAT("G",('Configurable Tab'!$C$7+11)),"")</f>
        <v>G79</v>
      </c>
      <c r="D1370" s="1480" t="s">
        <v>1365</v>
      </c>
      <c r="E1370" s="867" t="s">
        <v>1806</v>
      </c>
      <c r="F1370" s="1480"/>
      <c r="G1370" s="1480"/>
      <c r="H1370" s="1480"/>
      <c r="I1370" s="1427" t="str">
        <f t="shared" si="223"/>
        <v>Minimum Units</v>
      </c>
      <c r="J1370" s="1480" t="str">
        <f t="shared" si="224"/>
        <v>F</v>
      </c>
      <c r="K1370" s="1480" t="str">
        <f t="shared" si="222"/>
        <v>Incentives</v>
      </c>
      <c r="L1370" s="1480"/>
      <c r="M1370" s="1480"/>
      <c r="N1370" s="1480"/>
      <c r="O1370" s="1477"/>
      <c r="P1370" s="1477"/>
      <c r="Q1370" s="1477"/>
      <c r="R1370" s="1480" t="s">
        <v>1544</v>
      </c>
      <c r="S1370" s="1482" t="s">
        <v>1815</v>
      </c>
      <c r="T1370" s="1477"/>
      <c r="U1370" s="1480" t="str">
        <f>IF(Q$706="Yes",M732,"")</f>
        <v/>
      </c>
      <c r="V1370" s="1480" t="str">
        <f>IF(Q$736="Yes",M762,"")</f>
        <v/>
      </c>
      <c r="W1370" s="1477"/>
      <c r="X1370" s="1477"/>
      <c r="Y1370" s="1477"/>
      <c r="Z1370" s="1477"/>
    </row>
    <row r="1371" spans="1:26" hidden="1" x14ac:dyDescent="0.25">
      <c r="A1371" s="1184" t="s">
        <v>1405</v>
      </c>
      <c r="B1371" s="1427" t="str">
        <f>IFERROR(_xlfn.CONCAT("K",('Configurable Tab'!$C$7+6)),"")</f>
        <v>K74</v>
      </c>
      <c r="C1371" s="1427" t="str">
        <f>IFERROR(_xlfn.CONCAT("K",('Configurable Tab'!$C$7+7)),"")</f>
        <v>K75</v>
      </c>
      <c r="D1371" s="1480" t="s">
        <v>1365</v>
      </c>
      <c r="E1371" s="867" t="s">
        <v>1806</v>
      </c>
      <c r="F1371" s="1480"/>
      <c r="G1371" s="1480"/>
      <c r="H1371" s="1480"/>
      <c r="I1371" s="1427" t="str">
        <f t="shared" si="223"/>
        <v>Rate % of Sales</v>
      </c>
      <c r="J1371" s="1480" t="str">
        <f t="shared" si="224"/>
        <v>F</v>
      </c>
      <c r="K1371" s="1480" t="str">
        <f t="shared" si="222"/>
        <v>Incentives</v>
      </c>
      <c r="L1371" s="1480"/>
      <c r="M1371" s="1480"/>
      <c r="N1371" s="1480"/>
      <c r="O1371" s="1477"/>
      <c r="P1371" s="1477"/>
      <c r="Q1371" s="1477"/>
      <c r="R1371" s="1480" t="s">
        <v>1544</v>
      </c>
      <c r="S1371" s="1482" t="s">
        <v>1815</v>
      </c>
      <c r="T1371" s="1477"/>
      <c r="U1371" s="1480" t="str">
        <f>IF(Q$706="Yes",M722,"")</f>
        <v/>
      </c>
      <c r="V1371" s="1480" t="str">
        <f>IF(Q$736="Yes",M752,"")</f>
        <v/>
      </c>
      <c r="W1371" s="1477"/>
      <c r="X1371" s="1477"/>
      <c r="Y1371" s="1477"/>
      <c r="Z1371" s="1477"/>
    </row>
    <row r="1372" spans="1:26" hidden="1" x14ac:dyDescent="0.25">
      <c r="A1372" s="1184" t="s">
        <v>1405</v>
      </c>
      <c r="B1372" s="1427" t="str">
        <f>IFERROR(_xlfn.CONCAT("K",('Configurable Tab'!$C$7+6)),"")</f>
        <v>K74</v>
      </c>
      <c r="C1372" s="1427" t="str">
        <f>IFERROR(_xlfn.CONCAT("K",('Configurable Tab'!$C$7+8)),"")</f>
        <v>K76</v>
      </c>
      <c r="D1372" s="1480" t="s">
        <v>1365</v>
      </c>
      <c r="E1372" s="867" t="s">
        <v>1806</v>
      </c>
      <c r="F1372" s="1480"/>
      <c r="G1372" s="1480"/>
      <c r="H1372" s="1480"/>
      <c r="I1372" s="1427" t="str">
        <f t="shared" si="223"/>
        <v>Rate % of Sales</v>
      </c>
      <c r="J1372" s="1480" t="str">
        <f t="shared" si="224"/>
        <v>F</v>
      </c>
      <c r="K1372" s="1480" t="str">
        <f t="shared" si="222"/>
        <v>Incentives</v>
      </c>
      <c r="L1372" s="1480"/>
      <c r="M1372" s="1480"/>
      <c r="N1372" s="1480"/>
      <c r="O1372" s="1477"/>
      <c r="P1372" s="1477"/>
      <c r="Q1372" s="1477"/>
      <c r="R1372" s="1480" t="s">
        <v>1544</v>
      </c>
      <c r="S1372" s="1482" t="s">
        <v>1815</v>
      </c>
      <c r="T1372" s="1477"/>
      <c r="U1372" s="1480" t="str">
        <f>IF(Q$706="Yes",M725,"")</f>
        <v/>
      </c>
      <c r="V1372" s="1480" t="str">
        <f>IF(Q$736="Yes",M755,"")</f>
        <v/>
      </c>
      <c r="W1372" s="1477"/>
      <c r="X1372" s="1477"/>
      <c r="Y1372" s="1477"/>
      <c r="Z1372" s="1477"/>
    </row>
    <row r="1373" spans="1:26" hidden="1" x14ac:dyDescent="0.25">
      <c r="A1373" s="1184" t="s">
        <v>1405</v>
      </c>
      <c r="B1373" s="1427" t="str">
        <f>IFERROR(_xlfn.CONCAT("K",('Configurable Tab'!$C$7+6)),"")</f>
        <v>K74</v>
      </c>
      <c r="C1373" s="1427" t="str">
        <f>IFERROR(_xlfn.CONCAT("K",('Configurable Tab'!$C$7+9)),"")</f>
        <v>K77</v>
      </c>
      <c r="D1373" s="1480" t="s">
        <v>1365</v>
      </c>
      <c r="E1373" s="867" t="s">
        <v>1806</v>
      </c>
      <c r="F1373" s="1480"/>
      <c r="G1373" s="1480"/>
      <c r="H1373" s="1480"/>
      <c r="I1373" s="1427" t="str">
        <f t="shared" si="223"/>
        <v>Rate % of Sales</v>
      </c>
      <c r="J1373" s="1480" t="str">
        <f t="shared" si="224"/>
        <v>F</v>
      </c>
      <c r="K1373" s="1480" t="str">
        <f t="shared" si="222"/>
        <v>Incentives</v>
      </c>
      <c r="L1373" s="1480"/>
      <c r="M1373" s="1480"/>
      <c r="N1373" s="1480"/>
      <c r="O1373" s="1477"/>
      <c r="P1373" s="1477"/>
      <c r="Q1373" s="1477"/>
      <c r="R1373" s="1480" t="s">
        <v>1544</v>
      </c>
      <c r="S1373" s="1482" t="s">
        <v>1815</v>
      </c>
      <c r="T1373" s="1477"/>
      <c r="U1373" s="1480" t="str">
        <f>IF(Q$706="Yes",M728,"")</f>
        <v/>
      </c>
      <c r="V1373" s="1480" t="str">
        <f>IF(Q$736="Yes",M758,"")</f>
        <v/>
      </c>
      <c r="W1373" s="1477"/>
      <c r="X1373" s="1477"/>
      <c r="Y1373" s="1477"/>
      <c r="Z1373" s="1477"/>
    </row>
    <row r="1374" spans="1:26" hidden="1" x14ac:dyDescent="0.25">
      <c r="A1374" s="1184" t="s">
        <v>1405</v>
      </c>
      <c r="B1374" s="1427" t="str">
        <f>IFERROR(_xlfn.CONCAT("K",('Configurable Tab'!$C$7+6)),"")</f>
        <v>K74</v>
      </c>
      <c r="C1374" s="1427" t="str">
        <f>IFERROR(_xlfn.CONCAT("K",('Configurable Tab'!$C$7+10)),"")</f>
        <v>K78</v>
      </c>
      <c r="D1374" s="1480" t="s">
        <v>1365</v>
      </c>
      <c r="E1374" s="867" t="s">
        <v>1806</v>
      </c>
      <c r="F1374" s="1480"/>
      <c r="G1374" s="1480"/>
      <c r="H1374" s="1480"/>
      <c r="I1374" s="1427" t="str">
        <f t="shared" si="223"/>
        <v>Rate % of Sales</v>
      </c>
      <c r="J1374" s="1480" t="str">
        <f t="shared" si="224"/>
        <v>F</v>
      </c>
      <c r="K1374" s="1480" t="str">
        <f t="shared" si="222"/>
        <v>Incentives</v>
      </c>
      <c r="L1374" s="1480"/>
      <c r="M1374" s="1480"/>
      <c r="N1374" s="1480"/>
      <c r="O1374" s="1477"/>
      <c r="P1374" s="1477"/>
      <c r="Q1374" s="1477"/>
      <c r="R1374" s="1480" t="s">
        <v>1544</v>
      </c>
      <c r="S1374" s="1482" t="s">
        <v>1815</v>
      </c>
      <c r="T1374" s="1477"/>
      <c r="U1374" s="1480" t="str">
        <f>IF(Q$706="Yes",M731,"")</f>
        <v/>
      </c>
      <c r="V1374" s="1480" t="str">
        <f>IF(Q$736="Yes",M761,"")</f>
        <v/>
      </c>
      <c r="W1374" s="1477"/>
      <c r="X1374" s="1477"/>
      <c r="Y1374" s="1477"/>
      <c r="Z1374" s="1477"/>
    </row>
    <row r="1375" spans="1:26" hidden="1" x14ac:dyDescent="0.25">
      <c r="A1375" s="1184" t="s">
        <v>1405</v>
      </c>
      <c r="B1375" s="1427" t="str">
        <f>IFERROR(_xlfn.CONCAT("K",('Configurable Tab'!$C$7+6)),"")</f>
        <v>K74</v>
      </c>
      <c r="C1375" s="1427" t="str">
        <f>IFERROR(_xlfn.CONCAT("K",('Configurable Tab'!$C$7+11)),"")</f>
        <v>K79</v>
      </c>
      <c r="D1375" s="1480" t="s">
        <v>1365</v>
      </c>
      <c r="E1375" s="867" t="s">
        <v>1806</v>
      </c>
      <c r="F1375" s="1480"/>
      <c r="G1375" s="1480"/>
      <c r="H1375" s="1480"/>
      <c r="I1375" s="1427" t="str">
        <f t="shared" si="223"/>
        <v>Rate % of Sales</v>
      </c>
      <c r="J1375" s="1480" t="str">
        <f t="shared" si="224"/>
        <v>F</v>
      </c>
      <c r="K1375" s="1480" t="str">
        <f t="shared" si="222"/>
        <v>Incentives</v>
      </c>
      <c r="L1375" s="1480"/>
      <c r="M1375" s="1480"/>
      <c r="N1375" s="1480"/>
      <c r="O1375" s="1477"/>
      <c r="P1375" s="1477"/>
      <c r="Q1375" s="1477"/>
      <c r="R1375" s="1480" t="s">
        <v>1544</v>
      </c>
      <c r="S1375" s="1482" t="s">
        <v>1815</v>
      </c>
      <c r="T1375" s="1477"/>
      <c r="U1375" s="1480" t="str">
        <f>IF(Q$706="Yes",M734,"")</f>
        <v/>
      </c>
      <c r="V1375" s="1480" t="str">
        <f>IF(Q$736="Yes",M764,"")</f>
        <v/>
      </c>
      <c r="W1375" s="1477"/>
      <c r="X1375" s="1477"/>
      <c r="Y1375" s="1477"/>
      <c r="Z1375" s="1477"/>
    </row>
    <row r="1376" spans="1:26" hidden="1" x14ac:dyDescent="0.25">
      <c r="A1376" s="1185" t="s">
        <v>526</v>
      </c>
      <c r="B1376" s="1427" t="str">
        <f>IFERROR(_xlfn.CONCAT("D",('Configurable Tab'!$C$8+1)),"")</f>
        <v>D83</v>
      </c>
      <c r="C1376" s="1427" t="str">
        <f>IFERROR(_xlfn.CONCAT("E",('Configurable Tab'!$C$8+1)),"")</f>
        <v>E83</v>
      </c>
      <c r="D1376" s="1480" t="s">
        <v>1365</v>
      </c>
      <c r="E1376" s="867" t="s">
        <v>1806</v>
      </c>
      <c r="F1376" s="1480"/>
      <c r="G1376" s="1480"/>
      <c r="H1376" s="1480"/>
      <c r="I1376" s="1427" t="str">
        <f t="shared" si="223"/>
        <v>Offer this Incentive?</v>
      </c>
      <c r="J1376" s="1480" t="str">
        <f>$Q$1&amp;IF(T$1376&lt;&gt;0,U1376,IF(T$1394&lt;&gt;0,U1394,IF(X$1394&lt;&gt;0,Y1394,"")))</f>
        <v>F779</v>
      </c>
      <c r="K1376" s="1480" t="str">
        <f t="shared" si="222"/>
        <v>Incentives</v>
      </c>
      <c r="L1376" s="1480"/>
      <c r="M1376" s="1480"/>
      <c r="N1376" s="1480"/>
      <c r="O1376" s="1477" t="s">
        <v>1708</v>
      </c>
      <c r="P1376" s="1477"/>
      <c r="Q1376" s="1427" t="str">
        <f>IFERROR(_xlfn.CONCAT("C",('Configurable Tab'!$C8+1)),"")</f>
        <v>C83</v>
      </c>
      <c r="R1376" s="1480" t="s">
        <v>1550</v>
      </c>
      <c r="S1376" s="1482" t="s">
        <v>1816</v>
      </c>
      <c r="T1376" s="1480">
        <f>IF(Q$766="Yes",IF(Q$781="Yes",2,1),0)</f>
        <v>0</v>
      </c>
      <c r="U1376" s="1480" t="str">
        <f>IF(Q$766="Yes",M766,"")</f>
        <v/>
      </c>
      <c r="V1376" s="1480" t="str">
        <f>IF(Q$781="Yes",M781,"")</f>
        <v/>
      </c>
      <c r="W1376" s="1477"/>
      <c r="X1376" s="1477"/>
      <c r="Y1376" s="1477"/>
      <c r="Z1376" s="1477"/>
    </row>
    <row r="1377" spans="1:26" hidden="1" x14ac:dyDescent="0.25">
      <c r="A1377" s="1186" t="s">
        <v>1399</v>
      </c>
      <c r="B1377" s="1427" t="str">
        <f>IFERROR(_xlfn.CONCAT("D",('Configurable Tab'!$C$8+2)),"")</f>
        <v>D84</v>
      </c>
      <c r="C1377" s="1427" t="str">
        <f>IFERROR(_xlfn.CONCAT("E",('Configurable Tab'!$C$8+2)),"")</f>
        <v>E84</v>
      </c>
      <c r="D1377" s="1480" t="s">
        <v>1365</v>
      </c>
      <c r="E1377" s="867" t="s">
        <v>1806</v>
      </c>
      <c r="F1377" s="1480"/>
      <c r="G1377" s="1480"/>
      <c r="H1377" s="1480"/>
      <c r="I1377" s="1427" t="str">
        <f t="shared" si="223"/>
        <v>Incentive Type</v>
      </c>
      <c r="J1377" s="1480" t="str">
        <f t="shared" ref="J1377:J1393" si="225">$Q$1&amp;IF(T$1376&lt;&gt;0,U1377,IF(T$1394&lt;&gt;0,U1395,IF(X$1394&lt;&gt;0,Y1395,"")))</f>
        <v>F780</v>
      </c>
      <c r="K1377" s="1480" t="str">
        <f t="shared" si="222"/>
        <v>Incentives</v>
      </c>
      <c r="L1377" s="1480"/>
      <c r="M1377" s="1480"/>
      <c r="N1377" s="1480"/>
      <c r="O1377" s="1477"/>
      <c r="P1377" s="1477"/>
      <c r="Q1377" s="1477"/>
      <c r="R1377" s="1480" t="s">
        <v>1550</v>
      </c>
      <c r="S1377" s="1482" t="s">
        <v>1816</v>
      </c>
      <c r="T1377" s="1477"/>
      <c r="U1377" s="1480" t="str">
        <f>IF(Q$766="Yes",M767,"")</f>
        <v/>
      </c>
      <c r="V1377" s="1480" t="str">
        <f>IF(Q$781="Yes",M782,"")</f>
        <v/>
      </c>
      <c r="W1377" s="1477"/>
      <c r="X1377" s="1477"/>
      <c r="Y1377" s="1477"/>
      <c r="Z1377" s="1477"/>
    </row>
    <row r="1378" spans="1:26" hidden="1" x14ac:dyDescent="0.25">
      <c r="A1378" s="1186" t="s">
        <v>1401</v>
      </c>
      <c r="B1378" s="1427" t="str">
        <f>IFERROR(_xlfn.CONCAT("D",('Configurable Tab'!$C$8+4)),"")</f>
        <v>D86</v>
      </c>
      <c r="C1378" s="1427" t="str">
        <f>IFERROR(_xlfn.CONCAT("E",('Configurable Tab'!$C$8+4)),"")</f>
        <v>E86</v>
      </c>
      <c r="D1378" s="1480" t="s">
        <v>1365</v>
      </c>
      <c r="E1378" s="867" t="s">
        <v>1806</v>
      </c>
      <c r="F1378" s="1480"/>
      <c r="G1378" s="1480"/>
      <c r="H1378" s="1480"/>
      <c r="I1378" s="1427" t="str">
        <f t="shared" si="223"/>
        <v>Incentive Effective Date</v>
      </c>
      <c r="J1378" s="1480" t="str">
        <f t="shared" si="225"/>
        <v>F788</v>
      </c>
      <c r="K1378" s="1480" t="str">
        <f t="shared" si="222"/>
        <v>Incentives</v>
      </c>
      <c r="L1378" s="1480"/>
      <c r="M1378" s="1480"/>
      <c r="N1378" s="1480"/>
      <c r="O1378" s="1477"/>
      <c r="P1378" s="1477"/>
      <c r="Q1378" s="1477"/>
      <c r="R1378" s="1480" t="s">
        <v>1550</v>
      </c>
      <c r="S1378" s="1482" t="s">
        <v>1816</v>
      </c>
      <c r="T1378" s="1477"/>
      <c r="U1378" s="1480" t="str">
        <f>IF(Q$766="Yes",M775,"")</f>
        <v/>
      </c>
      <c r="V1378" s="1480" t="str">
        <f>IF(Q$781="Yes",M790,"")</f>
        <v/>
      </c>
      <c r="W1378" s="1477"/>
      <c r="X1378" s="1477"/>
      <c r="Y1378" s="1477"/>
      <c r="Z1378" s="1477"/>
    </row>
    <row r="1379" spans="1:26" hidden="1" x14ac:dyDescent="0.25">
      <c r="A1379" s="1186" t="s">
        <v>1402</v>
      </c>
      <c r="B1379" s="1427" t="str">
        <f>IFERROR(_xlfn.CONCAT("D",('Configurable Tab'!$C$8+5)),"")</f>
        <v>D87</v>
      </c>
      <c r="C1379" s="1427" t="str">
        <f>IFERROR(_xlfn.CONCAT("E",('Configurable Tab'!$C$8+5)),"")</f>
        <v>E87</v>
      </c>
      <c r="D1379" s="1480" t="s">
        <v>1365</v>
      </c>
      <c r="E1379" s="867" t="s">
        <v>1806</v>
      </c>
      <c r="F1379" s="1480"/>
      <c r="G1379" s="1480"/>
      <c r="H1379" s="1480"/>
      <c r="I1379" s="1427" t="str">
        <f t="shared" si="223"/>
        <v>Incentive Expiration Date</v>
      </c>
      <c r="J1379" s="1480" t="str">
        <f t="shared" si="225"/>
        <v>F788</v>
      </c>
      <c r="K1379" s="1480" t="str">
        <f t="shared" si="222"/>
        <v>Incentives</v>
      </c>
      <c r="L1379" s="1480"/>
      <c r="M1379" s="1480"/>
      <c r="N1379" s="1480"/>
      <c r="O1379" s="1477"/>
      <c r="P1379" s="1477"/>
      <c r="Q1379" s="1477"/>
      <c r="R1379" s="1480" t="s">
        <v>1550</v>
      </c>
      <c r="S1379" s="1482" t="s">
        <v>1816</v>
      </c>
      <c r="T1379" s="1477"/>
      <c r="U1379" s="1480" t="str">
        <f>IF(Q$766="Yes",M776,"")</f>
        <v/>
      </c>
      <c r="V1379" s="1480" t="str">
        <f>IF(Q$781="Yes",M791,"")</f>
        <v/>
      </c>
      <c r="W1379" s="1477"/>
      <c r="X1379" s="1477"/>
      <c r="Y1379" s="1477"/>
      <c r="Z1379" s="1477"/>
    </row>
    <row r="1380" spans="1:26" hidden="1" x14ac:dyDescent="0.25">
      <c r="A1380" s="1186" t="s">
        <v>1396</v>
      </c>
      <c r="B1380" s="1427" t="str">
        <f>IFERROR(_xlfn.CONCAT("G",('Configurable Tab'!$C$8+1)),"")</f>
        <v>G83</v>
      </c>
      <c r="C1380" s="1427" t="str">
        <f>IFERROR(_xlfn.CONCAT("G",('Configurable Tab'!$C$8+2)),"")</f>
        <v>G84</v>
      </c>
      <c r="D1380" s="1480" t="s">
        <v>1365</v>
      </c>
      <c r="E1380" s="867" t="s">
        <v>1806</v>
      </c>
      <c r="F1380" s="1476"/>
      <c r="G1380" s="1180"/>
      <c r="H1380" s="1480"/>
      <c r="I1380" s="1427" t="str">
        <f t="shared" si="223"/>
        <v>Incentive Period</v>
      </c>
      <c r="J1380" s="1480" t="str">
        <f t="shared" si="225"/>
        <v>F781</v>
      </c>
      <c r="K1380" s="1480" t="str">
        <f t="shared" si="222"/>
        <v>Incentives</v>
      </c>
      <c r="L1380" s="1480"/>
      <c r="M1380" s="1480"/>
      <c r="N1380" s="1480"/>
      <c r="O1380" s="1477"/>
      <c r="P1380" s="1477"/>
      <c r="Q1380" s="1477"/>
      <c r="R1380" s="1480" t="s">
        <v>1550</v>
      </c>
      <c r="S1380" s="1482" t="s">
        <v>1816</v>
      </c>
      <c r="T1380" s="1477"/>
      <c r="U1380" s="1480" t="str">
        <f>IF(Q$766="Yes",M768,"")</f>
        <v/>
      </c>
      <c r="V1380" s="1480" t="str">
        <f>IF(Q$781="Yes",M783,"")</f>
        <v/>
      </c>
      <c r="W1380" s="1477"/>
      <c r="X1380" s="1477"/>
      <c r="Y1380" s="1477"/>
      <c r="Z1380" s="1477"/>
    </row>
    <row r="1381" spans="1:26" hidden="1" x14ac:dyDescent="0.25">
      <c r="A1381" s="1186" t="s">
        <v>1397</v>
      </c>
      <c r="B1381" s="1427" t="str">
        <f>IFERROR(_xlfn.CONCAT("I",('Configurable Tab'!$C$8+1)),"")</f>
        <v>I83</v>
      </c>
      <c r="C1381" s="1427" t="str">
        <f>IFERROR(_xlfn.CONCAT("I",('Configurable Tab'!$C$8+2)),"")</f>
        <v>I84</v>
      </c>
      <c r="D1381" s="1480" t="s">
        <v>1365</v>
      </c>
      <c r="E1381" s="867" t="s">
        <v>1806</v>
      </c>
      <c r="F1381" s="1480"/>
      <c r="G1381" s="1480"/>
      <c r="H1381" s="1480"/>
      <c r="I1381" s="1427" t="str">
        <f t="shared" si="223"/>
        <v>Payment Method</v>
      </c>
      <c r="J1381" s="1480" t="str">
        <f t="shared" si="225"/>
        <v>F782</v>
      </c>
      <c r="K1381" s="1480" t="str">
        <f t="shared" si="222"/>
        <v>Incentives</v>
      </c>
      <c r="L1381" s="1480"/>
      <c r="M1381" s="1480"/>
      <c r="N1381" s="1480"/>
      <c r="O1381" s="1477"/>
      <c r="P1381" s="1477"/>
      <c r="Q1381" s="1477"/>
      <c r="R1381" s="1480" t="s">
        <v>1550</v>
      </c>
      <c r="S1381" s="1482" t="s">
        <v>1816</v>
      </c>
      <c r="T1381" s="1477"/>
      <c r="U1381" s="1480" t="str">
        <f>IF(Q$766="Yes",M769,"")</f>
        <v/>
      </c>
      <c r="V1381" s="1480" t="str">
        <f>IF(Q$781="Yes",M784,"")</f>
        <v/>
      </c>
      <c r="W1381" s="1477"/>
      <c r="X1381" s="1477"/>
      <c r="Y1381" s="1477"/>
      <c r="Z1381" s="1477"/>
    </row>
    <row r="1382" spans="1:26" hidden="1" x14ac:dyDescent="0.25">
      <c r="A1382" s="1186" t="s">
        <v>839</v>
      </c>
      <c r="B1382" s="1427" t="str">
        <f>IFERROR(_xlfn.CONCAT("K",('Configurable Tab'!$C$8+1)),"")</f>
        <v>K83</v>
      </c>
      <c r="C1382" s="1427" t="str">
        <f>IFERROR(_xlfn.CONCAT("K",('Configurable Tab'!$C$8+2)),"")</f>
        <v>K84</v>
      </c>
      <c r="D1382" s="1480" t="s">
        <v>1365</v>
      </c>
      <c r="E1382" s="867" t="s">
        <v>1806</v>
      </c>
      <c r="F1382" s="1480"/>
      <c r="G1382" s="1480"/>
      <c r="H1382" s="1480"/>
      <c r="I1382" s="1427" t="str">
        <f t="shared" si="223"/>
        <v>Paid to:</v>
      </c>
      <c r="J1382" s="1480" t="str">
        <f t="shared" si="225"/>
        <v>F783</v>
      </c>
      <c r="K1382" s="1480" t="str">
        <f t="shared" si="222"/>
        <v>Incentives</v>
      </c>
      <c r="L1382" s="1480"/>
      <c r="M1382" s="1480"/>
      <c r="N1382" s="1480"/>
      <c r="O1382" s="1477"/>
      <c r="P1382" s="1477"/>
      <c r="Q1382" s="1477"/>
      <c r="R1382" s="1480" t="s">
        <v>1550</v>
      </c>
      <c r="S1382" s="1482" t="s">
        <v>1816</v>
      </c>
      <c r="T1382" s="1477"/>
      <c r="U1382" s="1480" t="str">
        <f>IF(Q$766="Yes",M770,"")</f>
        <v/>
      </c>
      <c r="V1382" s="1480" t="str">
        <f>IF(Q$781="Yes",M785,"")</f>
        <v/>
      </c>
      <c r="W1382" s="1477"/>
      <c r="X1382" s="1477"/>
      <c r="Y1382" s="1477"/>
      <c r="Z1382" s="1477"/>
    </row>
    <row r="1383" spans="1:26" hidden="1" x14ac:dyDescent="0.25">
      <c r="A1383" s="1186" t="s">
        <v>1398</v>
      </c>
      <c r="B1383" s="1427" t="str">
        <f>IFERROR(_xlfn.CONCAT("M",('Configurable Tab'!$C$8+1)),"")</f>
        <v>M83</v>
      </c>
      <c r="C1383" s="1427" t="str">
        <f>IFERROR(_xlfn.CONCAT("M",('Configurable Tab'!$C$8+2)),"")</f>
        <v>M84</v>
      </c>
      <c r="D1383" s="1480" t="s">
        <v>1365</v>
      </c>
      <c r="E1383" s="867" t="s">
        <v>1806</v>
      </c>
      <c r="F1383" s="1480"/>
      <c r="G1383" s="1480"/>
      <c r="H1383" s="1480"/>
      <c r="I1383" s="1427" t="str">
        <f t="shared" si="223"/>
        <v>AP/AR Vendor Number</v>
      </c>
      <c r="J1383" s="1480" t="str">
        <f t="shared" si="225"/>
        <v>F784</v>
      </c>
      <c r="K1383" s="1480" t="str">
        <f t="shared" si="222"/>
        <v>Incentives</v>
      </c>
      <c r="L1383" s="1480"/>
      <c r="M1383" s="1480"/>
      <c r="N1383" s="1480"/>
      <c r="O1383" s="1477"/>
      <c r="P1383" s="1477"/>
      <c r="Q1383" s="1477"/>
      <c r="R1383" s="1480" t="s">
        <v>1550</v>
      </c>
      <c r="S1383" s="1482" t="s">
        <v>1816</v>
      </c>
      <c r="T1383" s="1477"/>
      <c r="U1383" s="1480" t="str">
        <f>IF(Q$766="Yes",M771,"")</f>
        <v/>
      </c>
      <c r="V1383" s="1480" t="str">
        <f>IF(Q$781="Yes",M786,"")</f>
        <v/>
      </c>
      <c r="W1383" s="1477"/>
      <c r="X1383" s="1477"/>
      <c r="Y1383" s="1477"/>
      <c r="Z1383" s="1477"/>
    </row>
    <row r="1384" spans="1:26" hidden="1" x14ac:dyDescent="0.25">
      <c r="A1384" s="1186" t="s">
        <v>1403</v>
      </c>
      <c r="B1384" s="1427" t="str">
        <f>IFERROR(_xlfn.CONCAT("G",('Configurable Tab'!$C$8+6)),"")</f>
        <v>G88</v>
      </c>
      <c r="C1384" s="1427" t="str">
        <f>IFERROR(_xlfn.CONCAT("G",('Configurable Tab'!$C$8+7)),"")</f>
        <v>G89</v>
      </c>
      <c r="D1384" s="1480" t="s">
        <v>1365</v>
      </c>
      <c r="E1384" s="867" t="s">
        <v>1806</v>
      </c>
      <c r="F1384" s="1480"/>
      <c r="G1384" s="1480"/>
      <c r="H1384" s="1480"/>
      <c r="I1384" s="1427" t="str">
        <f t="shared" si="223"/>
        <v>Minimum Units</v>
      </c>
      <c r="J1384" s="1480" t="str">
        <f t="shared" si="225"/>
        <v>F793</v>
      </c>
      <c r="K1384" s="1480" t="str">
        <f t="shared" si="222"/>
        <v>Incentives</v>
      </c>
      <c r="L1384" s="1480"/>
      <c r="M1384" s="1480"/>
      <c r="N1384" s="1480"/>
      <c r="O1384" s="1477"/>
      <c r="P1384" s="1477"/>
      <c r="Q1384" s="1477"/>
      <c r="R1384" s="1480" t="s">
        <v>1550</v>
      </c>
      <c r="S1384" s="1477"/>
      <c r="T1384" s="1477"/>
      <c r="U1384" s="1477"/>
      <c r="V1384" s="1477"/>
      <c r="W1384" s="1477"/>
      <c r="X1384" s="1477"/>
      <c r="Y1384" s="1477"/>
      <c r="Z1384" s="1477"/>
    </row>
    <row r="1385" spans="1:26" hidden="1" x14ac:dyDescent="0.25">
      <c r="A1385" s="1186" t="s">
        <v>1403</v>
      </c>
      <c r="B1385" s="1427" t="str">
        <f>IFERROR(_xlfn.CONCAT("G",('Configurable Tab'!$C$8+6)),"")</f>
        <v>G88</v>
      </c>
      <c r="C1385" s="1427" t="str">
        <f>IFERROR(_xlfn.CONCAT("G",('Configurable Tab'!$C$8+8)),"")</f>
        <v>G90</v>
      </c>
      <c r="D1385" s="1480" t="s">
        <v>1365</v>
      </c>
      <c r="E1385" s="867" t="s">
        <v>1806</v>
      </c>
      <c r="F1385" s="1480"/>
      <c r="G1385" s="1480"/>
      <c r="H1385" s="1480"/>
      <c r="I1385" s="1427" t="str">
        <f t="shared" si="223"/>
        <v>Minimum Units</v>
      </c>
      <c r="J1385" s="1480" t="str">
        <f t="shared" si="225"/>
        <v>F</v>
      </c>
      <c r="K1385" s="1480" t="str">
        <f t="shared" si="222"/>
        <v>Incentives</v>
      </c>
      <c r="L1385" s="1480"/>
      <c r="M1385" s="1480"/>
      <c r="N1385" s="1480"/>
      <c r="O1385" s="1477"/>
      <c r="P1385" s="1477"/>
      <c r="Q1385" s="1477"/>
      <c r="R1385" s="1480" t="s">
        <v>1550</v>
      </c>
      <c r="S1385" s="1477"/>
      <c r="T1385" s="1477"/>
      <c r="U1385" s="1477"/>
      <c r="V1385" s="1477"/>
      <c r="W1385" s="1477"/>
      <c r="X1385" s="1477"/>
      <c r="Y1385" s="1477"/>
      <c r="Z1385" s="1477"/>
    </row>
    <row r="1386" spans="1:26" hidden="1" x14ac:dyDescent="0.25">
      <c r="A1386" s="1186" t="s">
        <v>1403</v>
      </c>
      <c r="B1386" s="1427" t="str">
        <f>IFERROR(_xlfn.CONCAT("G",('Configurable Tab'!$C$8+6)),"")</f>
        <v>G88</v>
      </c>
      <c r="C1386" s="1427" t="str">
        <f>IFERROR(_xlfn.CONCAT("G",('Configurable Tab'!$C$8+9)),"")</f>
        <v>G91</v>
      </c>
      <c r="D1386" s="1480" t="s">
        <v>1365</v>
      </c>
      <c r="E1386" s="867" t="s">
        <v>1806</v>
      </c>
      <c r="F1386" s="1480"/>
      <c r="G1386" s="1480"/>
      <c r="H1386" s="1480"/>
      <c r="I1386" s="1427" t="str">
        <f t="shared" si="223"/>
        <v>Minimum Units</v>
      </c>
      <c r="J1386" s="1480" t="str">
        <f t="shared" si="225"/>
        <v>F</v>
      </c>
      <c r="K1386" s="1480" t="str">
        <f t="shared" si="222"/>
        <v>Incentives</v>
      </c>
      <c r="L1386" s="1480"/>
      <c r="M1386" s="1480"/>
      <c r="N1386" s="1480"/>
      <c r="O1386" s="1477"/>
      <c r="P1386" s="1477"/>
      <c r="Q1386" s="1477"/>
      <c r="R1386" s="1480" t="s">
        <v>1550</v>
      </c>
      <c r="S1386" s="1477"/>
      <c r="T1386" s="1477"/>
      <c r="U1386" s="1477"/>
      <c r="V1386" s="1477"/>
      <c r="W1386" s="1477"/>
      <c r="X1386" s="1477"/>
      <c r="Y1386" s="1477"/>
      <c r="Z1386" s="1477"/>
    </row>
    <row r="1387" spans="1:26" hidden="1" x14ac:dyDescent="0.25">
      <c r="A1387" s="1186" t="s">
        <v>1403</v>
      </c>
      <c r="B1387" s="1427" t="str">
        <f>IFERROR(_xlfn.CONCAT("G",('Configurable Tab'!$C$8+6)),"")</f>
        <v>G88</v>
      </c>
      <c r="C1387" s="1427" t="str">
        <f>IFERROR(_xlfn.CONCAT("G",('Configurable Tab'!$C$8+10)),"")</f>
        <v>G92</v>
      </c>
      <c r="D1387" s="1480" t="s">
        <v>1365</v>
      </c>
      <c r="E1387" s="867" t="s">
        <v>1806</v>
      </c>
      <c r="F1387" s="1480"/>
      <c r="G1387" s="1480"/>
      <c r="H1387" s="1480"/>
      <c r="I1387" s="1427" t="str">
        <f t="shared" si="223"/>
        <v>Minimum Units</v>
      </c>
      <c r="J1387" s="1480" t="str">
        <f t="shared" si="225"/>
        <v>F</v>
      </c>
      <c r="K1387" s="1480" t="str">
        <f t="shared" si="222"/>
        <v>Incentives</v>
      </c>
      <c r="L1387" s="1480"/>
      <c r="M1387" s="1480"/>
      <c r="N1387" s="1480"/>
      <c r="O1387" s="1477"/>
      <c r="P1387" s="1477"/>
      <c r="Q1387" s="1477"/>
      <c r="R1387" s="1480" t="s">
        <v>1550</v>
      </c>
      <c r="S1387" s="1477"/>
      <c r="T1387" s="1477"/>
      <c r="U1387" s="1477"/>
      <c r="V1387" s="1477"/>
      <c r="W1387" s="1477"/>
      <c r="X1387" s="1477"/>
      <c r="Y1387" s="1477"/>
      <c r="Z1387" s="1477"/>
    </row>
    <row r="1388" spans="1:26" hidden="1" x14ac:dyDescent="0.25">
      <c r="A1388" s="1186" t="s">
        <v>1403</v>
      </c>
      <c r="B1388" s="1427" t="str">
        <f>IFERROR(_xlfn.CONCAT("G",('Configurable Tab'!$C$8+6)),"")</f>
        <v>G88</v>
      </c>
      <c r="C1388" s="1427" t="str">
        <f>IFERROR(_xlfn.CONCAT("G",('Configurable Tab'!$C$8+11)),"")</f>
        <v>G93</v>
      </c>
      <c r="D1388" s="1480" t="s">
        <v>1365</v>
      </c>
      <c r="E1388" s="867" t="s">
        <v>1806</v>
      </c>
      <c r="F1388" s="1480"/>
      <c r="G1388" s="1480"/>
      <c r="H1388" s="1480"/>
      <c r="I1388" s="1427" t="str">
        <f t="shared" si="223"/>
        <v>Minimum Units</v>
      </c>
      <c r="J1388" s="1480" t="str">
        <f t="shared" si="225"/>
        <v>F</v>
      </c>
      <c r="K1388" s="1480" t="str">
        <f t="shared" si="222"/>
        <v>Incentives</v>
      </c>
      <c r="L1388" s="1480"/>
      <c r="M1388" s="1480"/>
      <c r="N1388" s="1480"/>
      <c r="O1388" s="1477"/>
      <c r="P1388" s="1477"/>
      <c r="Q1388" s="1477"/>
      <c r="R1388" s="1480" t="s">
        <v>1550</v>
      </c>
      <c r="S1388" s="1477"/>
      <c r="T1388" s="1477"/>
      <c r="U1388" s="1477"/>
      <c r="V1388" s="1477"/>
      <c r="W1388" s="1477"/>
      <c r="X1388" s="1477"/>
      <c r="Y1388" s="1477"/>
      <c r="Z1388" s="1477"/>
    </row>
    <row r="1389" spans="1:26" hidden="1" x14ac:dyDescent="0.25">
      <c r="A1389" s="1186" t="s">
        <v>1405</v>
      </c>
      <c r="B1389" s="1427" t="str">
        <f>IFERROR(_xlfn.CONCAT("K",('Configurable Tab'!$C$8+6)),"")</f>
        <v>K88</v>
      </c>
      <c r="C1389" s="1427" t="str">
        <f>IFERROR(_xlfn.CONCAT("K",('Configurable Tab'!$C$8+7)),"")</f>
        <v>K89</v>
      </c>
      <c r="D1389" s="1480" t="s">
        <v>1365</v>
      </c>
      <c r="E1389" s="867" t="s">
        <v>1806</v>
      </c>
      <c r="F1389" s="1480"/>
      <c r="G1389" s="1480"/>
      <c r="H1389" s="1480"/>
      <c r="I1389" s="1427" t="str">
        <f t="shared" si="223"/>
        <v>Rate % of Sales</v>
      </c>
      <c r="J1389" s="1480" t="str">
        <f t="shared" si="225"/>
        <v>F795</v>
      </c>
      <c r="K1389" s="1480" t="str">
        <f t="shared" si="222"/>
        <v>Incentives</v>
      </c>
      <c r="L1389" s="1480"/>
      <c r="M1389" s="1480"/>
      <c r="N1389" s="1480"/>
      <c r="O1389" s="1477"/>
      <c r="P1389" s="1477"/>
      <c r="Q1389" s="1477"/>
      <c r="R1389" s="1480" t="s">
        <v>1550</v>
      </c>
      <c r="S1389" s="1477"/>
      <c r="T1389" s="1477"/>
      <c r="U1389" s="1477"/>
      <c r="V1389" s="1477"/>
      <c r="W1389" s="1477"/>
      <c r="X1389" s="1477"/>
      <c r="Y1389" s="1477"/>
      <c r="Z1389" s="1477"/>
    </row>
    <row r="1390" spans="1:26" hidden="1" x14ac:dyDescent="0.25">
      <c r="A1390" s="1186" t="s">
        <v>1405</v>
      </c>
      <c r="B1390" s="1427" t="str">
        <f>IFERROR(_xlfn.CONCAT("K",('Configurable Tab'!$C$8+6)),"")</f>
        <v>K88</v>
      </c>
      <c r="C1390" s="1427" t="str">
        <f>IFERROR(_xlfn.CONCAT("K",('Configurable Tab'!$C$8+8)),"")</f>
        <v>K90</v>
      </c>
      <c r="D1390" s="1480" t="s">
        <v>1365</v>
      </c>
      <c r="E1390" s="867" t="s">
        <v>1806</v>
      </c>
      <c r="F1390" s="1480"/>
      <c r="G1390" s="1480"/>
      <c r="H1390" s="1480"/>
      <c r="I1390" s="1427" t="str">
        <f t="shared" si="223"/>
        <v>Rate % of Sales</v>
      </c>
      <c r="J1390" s="1480" t="str">
        <f t="shared" si="225"/>
        <v>F</v>
      </c>
      <c r="K1390" s="1480" t="str">
        <f t="shared" si="222"/>
        <v>Incentives</v>
      </c>
      <c r="L1390" s="1480"/>
      <c r="M1390" s="1480"/>
      <c r="N1390" s="1480"/>
      <c r="O1390" s="1477"/>
      <c r="P1390" s="1477"/>
      <c r="Q1390" s="1477"/>
      <c r="R1390" s="1480" t="s">
        <v>1550</v>
      </c>
      <c r="S1390" s="1477"/>
      <c r="T1390" s="1477"/>
      <c r="U1390" s="1477"/>
      <c r="V1390" s="1477"/>
      <c r="W1390" s="1477"/>
      <c r="X1390" s="1477"/>
      <c r="Y1390" s="1477"/>
      <c r="Z1390" s="1477"/>
    </row>
    <row r="1391" spans="1:26" hidden="1" x14ac:dyDescent="0.25">
      <c r="A1391" s="1186" t="s">
        <v>1405</v>
      </c>
      <c r="B1391" s="1427" t="str">
        <f>IFERROR(_xlfn.CONCAT("K",('Configurable Tab'!$C$8+6)),"")</f>
        <v>K88</v>
      </c>
      <c r="C1391" s="1427" t="str">
        <f>IFERROR(_xlfn.CONCAT("K",('Configurable Tab'!$C$8+9)),"")</f>
        <v>K91</v>
      </c>
      <c r="D1391" s="1480" t="s">
        <v>1365</v>
      </c>
      <c r="E1391" s="867" t="s">
        <v>1806</v>
      </c>
      <c r="F1391" s="1480"/>
      <c r="G1391" s="1480"/>
      <c r="H1391" s="1480"/>
      <c r="I1391" s="1427" t="str">
        <f t="shared" si="223"/>
        <v>Rate % of Sales</v>
      </c>
      <c r="J1391" s="1480" t="str">
        <f t="shared" si="225"/>
        <v>F</v>
      </c>
      <c r="K1391" s="1480" t="str">
        <f t="shared" si="222"/>
        <v>Incentives</v>
      </c>
      <c r="L1391" s="1480"/>
      <c r="M1391" s="1480"/>
      <c r="N1391" s="1480"/>
      <c r="O1391" s="1477"/>
      <c r="P1391" s="1477"/>
      <c r="Q1391" s="1477"/>
      <c r="R1391" s="1480" t="s">
        <v>1550</v>
      </c>
      <c r="S1391" s="1477"/>
      <c r="T1391" s="1477"/>
      <c r="U1391" s="1477"/>
      <c r="V1391" s="1477"/>
      <c r="W1391" s="1477"/>
      <c r="X1391" s="1477"/>
      <c r="Y1391" s="1477"/>
      <c r="Z1391" s="1477"/>
    </row>
    <row r="1392" spans="1:26" hidden="1" x14ac:dyDescent="0.25">
      <c r="A1392" s="1186" t="s">
        <v>1405</v>
      </c>
      <c r="B1392" s="1427" t="str">
        <f>IFERROR(_xlfn.CONCAT("K",('Configurable Tab'!$C$8+6)),"")</f>
        <v>K88</v>
      </c>
      <c r="C1392" s="1427" t="str">
        <f>IFERROR(_xlfn.CONCAT("K",('Configurable Tab'!$C$8+10)),"")</f>
        <v>K92</v>
      </c>
      <c r="D1392" s="1480" t="s">
        <v>1365</v>
      </c>
      <c r="E1392" s="867" t="s">
        <v>1806</v>
      </c>
      <c r="F1392" s="1480"/>
      <c r="G1392" s="1480"/>
      <c r="H1392" s="1480"/>
      <c r="I1392" s="1427" t="str">
        <f t="shared" si="223"/>
        <v>Rate % of Sales</v>
      </c>
      <c r="J1392" s="1480" t="str">
        <f t="shared" si="225"/>
        <v>F</v>
      </c>
      <c r="K1392" s="1480" t="str">
        <f t="shared" si="222"/>
        <v>Incentives</v>
      </c>
      <c r="L1392" s="1480"/>
      <c r="M1392" s="1480"/>
      <c r="N1392" s="1480"/>
      <c r="O1392" s="1477"/>
      <c r="P1392" s="1477"/>
      <c r="Q1392" s="1477"/>
      <c r="R1392" s="1480" t="s">
        <v>1550</v>
      </c>
      <c r="S1392" s="1477"/>
      <c r="T1392" s="1477"/>
      <c r="U1392" s="1477"/>
      <c r="V1392" s="1477"/>
      <c r="W1392" s="1477"/>
      <c r="X1392" s="1477"/>
      <c r="Y1392" s="1477"/>
      <c r="Z1392" s="1477"/>
    </row>
    <row r="1393" spans="1:26" hidden="1" x14ac:dyDescent="0.25">
      <c r="A1393" s="1186" t="s">
        <v>1405</v>
      </c>
      <c r="B1393" s="1427" t="str">
        <f>IFERROR(_xlfn.CONCAT("K",('Configurable Tab'!$C$8+6)),"")</f>
        <v>K88</v>
      </c>
      <c r="C1393" s="1427" t="str">
        <f>IFERROR(_xlfn.CONCAT("K",('Configurable Tab'!$C$8+11)),"")</f>
        <v>K93</v>
      </c>
      <c r="D1393" s="1480" t="s">
        <v>1365</v>
      </c>
      <c r="E1393" s="867" t="s">
        <v>1806</v>
      </c>
      <c r="F1393" s="1480"/>
      <c r="G1393" s="1480"/>
      <c r="H1393" s="1480"/>
      <c r="I1393" s="1427" t="str">
        <f t="shared" si="223"/>
        <v>Rate % of Sales</v>
      </c>
      <c r="J1393" s="1480" t="str">
        <f t="shared" si="225"/>
        <v>F</v>
      </c>
      <c r="K1393" s="1480" t="str">
        <f t="shared" si="222"/>
        <v>Incentives</v>
      </c>
      <c r="L1393" s="1480"/>
      <c r="M1393" s="1480"/>
      <c r="N1393" s="1480"/>
      <c r="O1393" s="1477"/>
      <c r="P1393" s="1477"/>
      <c r="Q1393" s="1477"/>
      <c r="R1393" s="1480" t="s">
        <v>1550</v>
      </c>
      <c r="S1393" s="1477"/>
      <c r="T1393" s="1477"/>
      <c r="U1393" s="1477"/>
      <c r="V1393" s="1477"/>
      <c r="W1393" s="1477"/>
      <c r="X1393" s="1477"/>
      <c r="Y1393" s="1477"/>
      <c r="Z1393" s="1477"/>
    </row>
    <row r="1394" spans="1:26" hidden="1" x14ac:dyDescent="0.25">
      <c r="A1394" s="1187" t="s">
        <v>526</v>
      </c>
      <c r="B1394" s="1427" t="str">
        <f>IFERROR(_xlfn.CONCAT("D",('Configurable Tab'!$C$9+1)),"")</f>
        <v>D97</v>
      </c>
      <c r="C1394" s="1427" t="str">
        <f>IFERROR(_xlfn.CONCAT("E",('Configurable Tab'!$C$9+1)),"")</f>
        <v>E97</v>
      </c>
      <c r="D1394" s="1480" t="s">
        <v>1365</v>
      </c>
      <c r="E1394" s="867" t="s">
        <v>1806</v>
      </c>
      <c r="F1394" s="1480"/>
      <c r="G1394" s="1480"/>
      <c r="H1394" s="1480"/>
      <c r="I1394" s="1427" t="str">
        <f t="shared" si="223"/>
        <v>Offer this Incentive?</v>
      </c>
      <c r="J1394" s="1480" t="str">
        <f>$Q$1&amp;IF(T$1376=2,V1376,IF(T$1376=1,IF(AND(T$1394=1,T$1394&lt;&gt;0),U1394,IF(AND(X$1394=1,X$1394&lt;&gt;0),Y1394,"")),IF(T$1394=2,V1394,IF(T$1394=1,IF(AND(X$1394=1,X$1394&lt;&gt;0),Y1394,""),IF(X$1394=2,Z1394,"")))))</f>
        <v>F</v>
      </c>
      <c r="K1394" s="1480" t="str">
        <f t="shared" si="222"/>
        <v>Incentives</v>
      </c>
      <c r="L1394" s="1480"/>
      <c r="M1394" s="1480"/>
      <c r="N1394" s="1480"/>
      <c r="O1394" s="1477" t="s">
        <v>1709</v>
      </c>
      <c r="P1394" s="1477"/>
      <c r="Q1394" s="1427" t="str">
        <f>IFERROR(_xlfn.CONCAT("C",('Configurable Tab'!$C9+1)),"")</f>
        <v>C97</v>
      </c>
      <c r="R1394" s="1480" t="s">
        <v>1550</v>
      </c>
      <c r="S1394" s="1482" t="s">
        <v>1817</v>
      </c>
      <c r="T1394" s="1480">
        <f>IF(Q$796="Yes",IF(Q$814="Yes",2,1),0)</f>
        <v>1</v>
      </c>
      <c r="U1394" s="1480">
        <f>IF(Q$796="Yes",M796,"")</f>
        <v>779</v>
      </c>
      <c r="V1394" s="1480" t="str">
        <f>IF(Q$814="Yes",M814,"")</f>
        <v/>
      </c>
      <c r="W1394" s="1482" t="s">
        <v>1818</v>
      </c>
      <c r="X1394" s="1480">
        <f>IF(Q$832="Yes",IF(Q$862="Yes",2,1),0)</f>
        <v>0</v>
      </c>
      <c r="Y1394" s="1480" t="str">
        <f>IF(Q$832="Yes",M832,"")</f>
        <v/>
      </c>
      <c r="Z1394" s="1480" t="str">
        <f>IF(U$862="Yes",M862,"")</f>
        <v/>
      </c>
    </row>
    <row r="1395" spans="1:26" hidden="1" x14ac:dyDescent="0.25">
      <c r="A1395" s="1188" t="s">
        <v>1399</v>
      </c>
      <c r="B1395" s="1427" t="str">
        <f>IFERROR(_xlfn.CONCAT("D",('Configurable Tab'!$C$9+2)),"")</f>
        <v>D98</v>
      </c>
      <c r="C1395" s="1427" t="str">
        <f>IFERROR(_xlfn.CONCAT("E",('Configurable Tab'!$C$9+2)),"")</f>
        <v>E98</v>
      </c>
      <c r="D1395" s="1480" t="s">
        <v>1365</v>
      </c>
      <c r="E1395" s="867" t="s">
        <v>1806</v>
      </c>
      <c r="F1395" s="1480"/>
      <c r="G1395" s="1480"/>
      <c r="H1395" s="1480"/>
      <c r="I1395" s="1427" t="str">
        <f t="shared" si="223"/>
        <v>Incentive Type</v>
      </c>
      <c r="J1395" s="1480" t="str">
        <f t="shared" ref="J1395:J1411" si="226">$Q$1&amp;IF(T$1376=2,V1377,IF(T$1376=1,IF(AND(T$1394=1,T$1394&lt;&gt;0),U1395,IF(AND(X$1394=1,X$1394&lt;&gt;0),Y1395,"")),IF(T$1394=2,U1395,IF(T$1394=1,IF(AND(X$1394=1,X$1394&lt;&gt;0),Y1395,""),IF(X$1394=2,Z1395,"")))))</f>
        <v>F</v>
      </c>
      <c r="K1395" s="1480" t="str">
        <f t="shared" si="222"/>
        <v>Incentives</v>
      </c>
      <c r="L1395" s="1480"/>
      <c r="M1395" s="1480"/>
      <c r="N1395" s="1480"/>
      <c r="O1395" s="1477"/>
      <c r="P1395" s="1477"/>
      <c r="Q1395" s="1477"/>
      <c r="R1395" s="1480" t="s">
        <v>1550</v>
      </c>
      <c r="S1395" s="1482" t="s">
        <v>1817</v>
      </c>
      <c r="T1395" s="1477"/>
      <c r="U1395" s="1480">
        <f>IF(Q$796="Yes",M797,"")</f>
        <v>780</v>
      </c>
      <c r="V1395" s="1480" t="str">
        <f>IF(Q$814="Yes",M815,"")</f>
        <v/>
      </c>
      <c r="W1395" s="1482" t="s">
        <v>1818</v>
      </c>
      <c r="X1395" s="1477"/>
      <c r="Y1395" s="1480" t="str">
        <f>IF(Q$832="Yes",M833,"")</f>
        <v/>
      </c>
      <c r="Z1395" s="1480" t="str">
        <f>IF(U$862="Yes",M863,"")</f>
        <v/>
      </c>
    </row>
    <row r="1396" spans="1:26" hidden="1" x14ac:dyDescent="0.25">
      <c r="A1396" s="1188" t="s">
        <v>1401</v>
      </c>
      <c r="B1396" s="1427" t="str">
        <f>IFERROR(_xlfn.CONCAT("D",('Configurable Tab'!$C$9+4)),"")</f>
        <v>D100</v>
      </c>
      <c r="C1396" s="1427" t="str">
        <f>IFERROR(_xlfn.CONCAT("E",('Configurable Tab'!$C$9+4)),"")</f>
        <v>E100</v>
      </c>
      <c r="D1396" s="1480" t="s">
        <v>1365</v>
      </c>
      <c r="E1396" s="867" t="s">
        <v>1806</v>
      </c>
      <c r="F1396" s="1480"/>
      <c r="G1396" s="1480"/>
      <c r="H1396" s="1480"/>
      <c r="I1396" s="1427" t="str">
        <f t="shared" si="223"/>
        <v>Incentive Effective Date</v>
      </c>
      <c r="J1396" s="1480" t="str">
        <f t="shared" si="226"/>
        <v>F</v>
      </c>
      <c r="K1396" s="1480" t="str">
        <f t="shared" si="222"/>
        <v>Incentives</v>
      </c>
      <c r="L1396" s="1480"/>
      <c r="M1396" s="1480"/>
      <c r="N1396" s="1480"/>
      <c r="O1396" s="1477"/>
      <c r="P1396" s="1477"/>
      <c r="Q1396" s="1477"/>
      <c r="R1396" s="1480" t="s">
        <v>1550</v>
      </c>
      <c r="S1396" s="1482" t="s">
        <v>1817</v>
      </c>
      <c r="T1396" s="1477"/>
      <c r="U1396" s="1480">
        <f>IF(Q$796="Yes",M805,"")</f>
        <v>788</v>
      </c>
      <c r="V1396" s="1480" t="str">
        <f>IF(Q$814="Yes",M823,"")</f>
        <v/>
      </c>
      <c r="W1396" s="1482" t="s">
        <v>1818</v>
      </c>
      <c r="X1396" s="1477"/>
      <c r="Y1396" s="1480" t="str">
        <f>IF(Q$832="Yes",M841,"")</f>
        <v/>
      </c>
      <c r="Z1396" s="1480" t="str">
        <f>IF(U$862="Yes",M871,"")</f>
        <v/>
      </c>
    </row>
    <row r="1397" spans="1:26" hidden="1" x14ac:dyDescent="0.25">
      <c r="A1397" s="1188" t="s">
        <v>1402</v>
      </c>
      <c r="B1397" s="1427" t="str">
        <f>IFERROR(_xlfn.CONCAT("D",('Configurable Tab'!$C$9+5)),"")</f>
        <v>D101</v>
      </c>
      <c r="C1397" s="1427" t="str">
        <f>IFERROR(_xlfn.CONCAT("E",('Configurable Tab'!$C$9+5)),"")</f>
        <v>E101</v>
      </c>
      <c r="D1397" s="1480" t="s">
        <v>1365</v>
      </c>
      <c r="E1397" s="867" t="s">
        <v>1806</v>
      </c>
      <c r="F1397" s="1480"/>
      <c r="G1397" s="1480"/>
      <c r="H1397" s="1480"/>
      <c r="I1397" s="1427" t="str">
        <f t="shared" si="223"/>
        <v>Incentive Expiration Date</v>
      </c>
      <c r="J1397" s="1480" t="str">
        <f t="shared" si="226"/>
        <v>F</v>
      </c>
      <c r="K1397" s="1480" t="str">
        <f t="shared" si="222"/>
        <v>Incentives</v>
      </c>
      <c r="L1397" s="1480"/>
      <c r="M1397" s="1480"/>
      <c r="N1397" s="1480"/>
      <c r="O1397" s="1477"/>
      <c r="P1397" s="1477"/>
      <c r="Q1397" s="1477"/>
      <c r="R1397" s="1480" t="s">
        <v>1550</v>
      </c>
      <c r="S1397" s="1482" t="s">
        <v>1817</v>
      </c>
      <c r="T1397" s="1477"/>
      <c r="U1397" s="1480">
        <f>IF(Q$796="Yes",M805,"")</f>
        <v>788</v>
      </c>
      <c r="V1397" s="1480" t="str">
        <f>IF(Q$814="Yes",M824,"")</f>
        <v/>
      </c>
      <c r="W1397" s="1482" t="s">
        <v>1818</v>
      </c>
      <c r="X1397" s="1477"/>
      <c r="Y1397" s="1480" t="str">
        <f>IF(Q$832="Yes",M842,"")</f>
        <v/>
      </c>
      <c r="Z1397" s="1480" t="str">
        <f>IF(U$862="Yes",M872,"")</f>
        <v/>
      </c>
    </row>
    <row r="1398" spans="1:26" hidden="1" x14ac:dyDescent="0.25">
      <c r="A1398" s="1188" t="s">
        <v>1396</v>
      </c>
      <c r="B1398" s="1427" t="str">
        <f>IFERROR(_xlfn.CONCAT("G",('Configurable Tab'!$C$9+1)),"")</f>
        <v>G97</v>
      </c>
      <c r="C1398" s="1427" t="str">
        <f>IFERROR(_xlfn.CONCAT("G",('Configurable Tab'!$C$9+2)),"")</f>
        <v>G98</v>
      </c>
      <c r="D1398" s="1480" t="s">
        <v>1365</v>
      </c>
      <c r="E1398" s="867" t="s">
        <v>1806</v>
      </c>
      <c r="F1398" s="1480"/>
      <c r="G1398" s="1480"/>
      <c r="H1398" s="1480"/>
      <c r="I1398" s="1427" t="str">
        <f t="shared" si="223"/>
        <v>Incentive Period</v>
      </c>
      <c r="J1398" s="1480" t="str">
        <f t="shared" si="226"/>
        <v>F</v>
      </c>
      <c r="K1398" s="1480" t="str">
        <f t="shared" si="222"/>
        <v>Incentives</v>
      </c>
      <c r="L1398" s="1480"/>
      <c r="M1398" s="1480"/>
      <c r="N1398" s="1480"/>
      <c r="O1398" s="1477"/>
      <c r="P1398" s="1477"/>
      <c r="Q1398" s="1477"/>
      <c r="R1398" s="1480" t="s">
        <v>1550</v>
      </c>
      <c r="S1398" s="1482" t="s">
        <v>1817</v>
      </c>
      <c r="T1398" s="1477"/>
      <c r="U1398" s="1480">
        <f>IF(Q$796="Yes",M798,"")</f>
        <v>781</v>
      </c>
      <c r="V1398" s="1480" t="str">
        <f>IF(Q$814="Yes",M816,"")</f>
        <v/>
      </c>
      <c r="W1398" s="1482" t="s">
        <v>1818</v>
      </c>
      <c r="X1398" s="1477"/>
      <c r="Y1398" s="1480" t="str">
        <f>IF(Q$832="Yes",M834,"")</f>
        <v/>
      </c>
      <c r="Z1398" s="1480" t="str">
        <f>IF(U$862="Yes",M864,"")</f>
        <v/>
      </c>
    </row>
    <row r="1399" spans="1:26" hidden="1" x14ac:dyDescent="0.25">
      <c r="A1399" s="1188" t="s">
        <v>1397</v>
      </c>
      <c r="B1399" s="1427" t="str">
        <f>IFERROR(_xlfn.CONCAT("I",('Configurable Tab'!$C$9+1)),"")</f>
        <v>I97</v>
      </c>
      <c r="C1399" s="1427" t="str">
        <f>IFERROR(_xlfn.CONCAT("I",('Configurable Tab'!$C$9+2)),"")</f>
        <v>I98</v>
      </c>
      <c r="D1399" s="1480" t="s">
        <v>1365</v>
      </c>
      <c r="E1399" s="867" t="s">
        <v>1806</v>
      </c>
      <c r="F1399" s="1480"/>
      <c r="G1399" s="1480"/>
      <c r="H1399" s="1480"/>
      <c r="I1399" s="1427" t="str">
        <f t="shared" si="223"/>
        <v>Payment Method</v>
      </c>
      <c r="J1399" s="1480" t="str">
        <f t="shared" si="226"/>
        <v>F</v>
      </c>
      <c r="K1399" s="1480" t="str">
        <f t="shared" si="222"/>
        <v>Incentives</v>
      </c>
      <c r="L1399" s="1480"/>
      <c r="M1399" s="1480"/>
      <c r="N1399" s="1480"/>
      <c r="O1399" s="1477"/>
      <c r="P1399" s="1477"/>
      <c r="Q1399" s="1477"/>
      <c r="R1399" s="1480" t="s">
        <v>1550</v>
      </c>
      <c r="S1399" s="1482" t="s">
        <v>1817</v>
      </c>
      <c r="T1399" s="1477"/>
      <c r="U1399" s="1480">
        <f>IF(Q$796="Yes",M799,"")</f>
        <v>782</v>
      </c>
      <c r="V1399" s="1480" t="str">
        <f>IF(Q$814="Yes",M817,"")</f>
        <v/>
      </c>
      <c r="W1399" s="1482" t="s">
        <v>1818</v>
      </c>
      <c r="X1399" s="1477"/>
      <c r="Y1399" s="1480" t="str">
        <f>IF(Q$832="Yes",M835,"")</f>
        <v/>
      </c>
      <c r="Z1399" s="1480" t="str">
        <f>IF(U$862="Yes",M865,"")</f>
        <v/>
      </c>
    </row>
    <row r="1400" spans="1:26" hidden="1" x14ac:dyDescent="0.25">
      <c r="A1400" s="1188" t="s">
        <v>839</v>
      </c>
      <c r="B1400" s="1427" t="str">
        <f>IFERROR(_xlfn.CONCAT("K",('Configurable Tab'!$C$9+1)),"")</f>
        <v>K97</v>
      </c>
      <c r="C1400" s="1427" t="str">
        <f>IFERROR(_xlfn.CONCAT("K",('Configurable Tab'!$C$9+2)),"")</f>
        <v>K98</v>
      </c>
      <c r="D1400" s="1480" t="s">
        <v>1365</v>
      </c>
      <c r="E1400" s="867" t="s">
        <v>1806</v>
      </c>
      <c r="F1400" s="1480"/>
      <c r="G1400" s="1480"/>
      <c r="H1400" s="1480"/>
      <c r="I1400" s="1427" t="str">
        <f t="shared" si="223"/>
        <v>Paid to:</v>
      </c>
      <c r="J1400" s="1480" t="str">
        <f t="shared" si="226"/>
        <v>F</v>
      </c>
      <c r="K1400" s="1480" t="str">
        <f t="shared" si="222"/>
        <v>Incentives</v>
      </c>
      <c r="L1400" s="1480"/>
      <c r="M1400" s="1480"/>
      <c r="N1400" s="1480"/>
      <c r="O1400" s="1477"/>
      <c r="P1400" s="1477"/>
      <c r="Q1400" s="1477"/>
      <c r="R1400" s="1480" t="s">
        <v>1550</v>
      </c>
      <c r="S1400" s="1482" t="s">
        <v>1817</v>
      </c>
      <c r="T1400" s="1477"/>
      <c r="U1400" s="1480">
        <f>IF(Q$796="Yes",M800,"")</f>
        <v>783</v>
      </c>
      <c r="V1400" s="1480" t="str">
        <f>IF(Q$814="Yes",M818,"")</f>
        <v/>
      </c>
      <c r="W1400" s="1482" t="s">
        <v>1818</v>
      </c>
      <c r="X1400" s="1477"/>
      <c r="Y1400" s="1480" t="str">
        <f>IF(Q$832="Yes",M836,"")</f>
        <v/>
      </c>
      <c r="Z1400" s="1480" t="str">
        <f>IF(U$862="Yes",M866,"")</f>
        <v/>
      </c>
    </row>
    <row r="1401" spans="1:26" hidden="1" x14ac:dyDescent="0.25">
      <c r="A1401" s="1188" t="s">
        <v>1398</v>
      </c>
      <c r="B1401" s="1427" t="str">
        <f>IFERROR(_xlfn.CONCAT("M",('Configurable Tab'!$C$9+1)),"")</f>
        <v>M97</v>
      </c>
      <c r="C1401" s="1427" t="str">
        <f>IFERROR(_xlfn.CONCAT("M",('Configurable Tab'!$C$9+2)),"")</f>
        <v>M98</v>
      </c>
      <c r="D1401" s="1480" t="s">
        <v>1365</v>
      </c>
      <c r="E1401" s="867" t="s">
        <v>1806</v>
      </c>
      <c r="F1401" s="1480"/>
      <c r="G1401" s="1480"/>
      <c r="H1401" s="1480"/>
      <c r="I1401" s="1427" t="str">
        <f t="shared" si="223"/>
        <v>AP/AR Vendor Number</v>
      </c>
      <c r="J1401" s="1480" t="str">
        <f t="shared" si="226"/>
        <v>F</v>
      </c>
      <c r="K1401" s="1480" t="str">
        <f t="shared" si="222"/>
        <v>Incentives</v>
      </c>
      <c r="L1401" s="1480"/>
      <c r="M1401" s="1480"/>
      <c r="N1401" s="1480"/>
      <c r="O1401" s="1477"/>
      <c r="P1401" s="1477"/>
      <c r="Q1401" s="1477"/>
      <c r="R1401" s="1480" t="s">
        <v>1550</v>
      </c>
      <c r="S1401" s="1482" t="s">
        <v>1817</v>
      </c>
      <c r="T1401" s="1477"/>
      <c r="U1401" s="1480">
        <f>IF(Q$796="Yes",M801,"")</f>
        <v>784</v>
      </c>
      <c r="V1401" s="1480" t="str">
        <f>IF(Q$814="Yes",M819,"")</f>
        <v/>
      </c>
      <c r="W1401" s="1482" t="s">
        <v>1818</v>
      </c>
      <c r="X1401" s="1477"/>
      <c r="Y1401" s="1480" t="str">
        <f>IF(Q$832="Yes",M837,"")</f>
        <v/>
      </c>
      <c r="Z1401" s="1480" t="str">
        <f>IF(U$862="Yes",M867,"")</f>
        <v/>
      </c>
    </row>
    <row r="1402" spans="1:26" hidden="1" x14ac:dyDescent="0.25">
      <c r="A1402" s="1188" t="s">
        <v>1403</v>
      </c>
      <c r="B1402" s="1427" t="str">
        <f>IFERROR(_xlfn.CONCAT("G",('Configurable Tab'!$C$9+6)),"")</f>
        <v>G102</v>
      </c>
      <c r="C1402" s="1427" t="str">
        <f>IFERROR(_xlfn.CONCAT("G",('Configurable Tab'!$C$9+7)),"")</f>
        <v>G103</v>
      </c>
      <c r="D1402" s="1480" t="s">
        <v>1365</v>
      </c>
      <c r="E1402" s="867" t="s">
        <v>1806</v>
      </c>
      <c r="F1402" s="1480"/>
      <c r="G1402" s="1480"/>
      <c r="H1402" s="1480"/>
      <c r="I1402" s="1427" t="str">
        <f t="shared" si="223"/>
        <v>Minimum Units</v>
      </c>
      <c r="J1402" s="1480" t="str">
        <f t="shared" si="226"/>
        <v>F</v>
      </c>
      <c r="K1402" s="1480" t="str">
        <f t="shared" si="222"/>
        <v>Incentives</v>
      </c>
      <c r="L1402" s="1480"/>
      <c r="M1402" s="1480"/>
      <c r="N1402" s="1480"/>
      <c r="O1402" s="1477"/>
      <c r="P1402" s="1477"/>
      <c r="Q1402" s="1477"/>
      <c r="R1402" s="1480" t="s">
        <v>1550</v>
      </c>
      <c r="S1402" s="1482" t="s">
        <v>1817</v>
      </c>
      <c r="T1402" s="1477"/>
      <c r="U1402" s="1480">
        <f>IF(Q$796="Yes",M810,"")</f>
        <v>793</v>
      </c>
      <c r="V1402" s="1480" t="str">
        <f>IF(Q$814="Yes",M828,"")</f>
        <v/>
      </c>
      <c r="W1402" s="1482" t="s">
        <v>1818</v>
      </c>
      <c r="X1402" s="1477"/>
      <c r="Y1402" s="1480" t="str">
        <f>IF(Q$832="Yes",M846,"")</f>
        <v/>
      </c>
      <c r="Z1402" s="1480" t="str">
        <f>IF(U$862="Yes",M876,"")</f>
        <v/>
      </c>
    </row>
    <row r="1403" spans="1:26" hidden="1" x14ac:dyDescent="0.25">
      <c r="A1403" s="1188" t="s">
        <v>1403</v>
      </c>
      <c r="B1403" s="1427" t="str">
        <f>IFERROR(_xlfn.CONCAT("G",('Configurable Tab'!$C$9+6)),"")</f>
        <v>G102</v>
      </c>
      <c r="C1403" s="1427" t="str">
        <f>IFERROR(_xlfn.CONCAT("G",('Configurable Tab'!$C$9+8)),"")</f>
        <v>G104</v>
      </c>
      <c r="D1403" s="1480" t="s">
        <v>1365</v>
      </c>
      <c r="E1403" s="867" t="s">
        <v>1806</v>
      </c>
      <c r="F1403" s="1480"/>
      <c r="G1403" s="1480"/>
      <c r="H1403" s="1480"/>
      <c r="I1403" s="1427" t="str">
        <f t="shared" si="223"/>
        <v>Minimum Units</v>
      </c>
      <c r="J1403" s="1480" t="str">
        <f t="shared" si="226"/>
        <v>F</v>
      </c>
      <c r="K1403" s="1480" t="str">
        <f t="shared" si="222"/>
        <v>Incentives</v>
      </c>
      <c r="L1403" s="1480"/>
      <c r="M1403" s="1480"/>
      <c r="N1403" s="1480"/>
      <c r="O1403" s="1477"/>
      <c r="P1403" s="1477"/>
      <c r="Q1403" s="1477"/>
      <c r="R1403" s="1480" t="s">
        <v>1550</v>
      </c>
      <c r="S1403" s="1477"/>
      <c r="T1403" s="1477"/>
      <c r="U1403" s="1477"/>
      <c r="V1403" s="1477"/>
      <c r="W1403" s="1480" t="s">
        <v>1818</v>
      </c>
      <c r="X1403" s="1477"/>
      <c r="Y1403" s="1480" t="str">
        <f>IF(Q$832="Yes",M849,"")</f>
        <v/>
      </c>
      <c r="Z1403" s="1480" t="str">
        <f>IF(U$862="Yes",M879,"")</f>
        <v/>
      </c>
    </row>
    <row r="1404" spans="1:26" hidden="1" x14ac:dyDescent="0.25">
      <c r="A1404" s="1188" t="s">
        <v>1403</v>
      </c>
      <c r="B1404" s="1427" t="str">
        <f>IFERROR(_xlfn.CONCAT("G",('Configurable Tab'!$C$9+6)),"")</f>
        <v>G102</v>
      </c>
      <c r="C1404" s="1427" t="str">
        <f>IFERROR(_xlfn.CONCAT("G",('Configurable Tab'!$C$9+9)),"")</f>
        <v>G105</v>
      </c>
      <c r="D1404" s="1480" t="s">
        <v>1365</v>
      </c>
      <c r="E1404" s="867" t="s">
        <v>1806</v>
      </c>
      <c r="F1404" s="1480"/>
      <c r="G1404" s="1480"/>
      <c r="H1404" s="1480"/>
      <c r="I1404" s="1427" t="str">
        <f t="shared" si="223"/>
        <v>Minimum Units</v>
      </c>
      <c r="J1404" s="1480" t="str">
        <f t="shared" si="226"/>
        <v>F</v>
      </c>
      <c r="K1404" s="1480" t="str">
        <f t="shared" si="222"/>
        <v>Incentives</v>
      </c>
      <c r="L1404" s="1480"/>
      <c r="M1404" s="1480"/>
      <c r="N1404" s="1480"/>
      <c r="O1404" s="1477"/>
      <c r="P1404" s="1477"/>
      <c r="Q1404" s="1477"/>
      <c r="R1404" s="1480" t="s">
        <v>1550</v>
      </c>
      <c r="S1404" s="1477"/>
      <c r="T1404" s="1477"/>
      <c r="U1404" s="1477"/>
      <c r="V1404" s="1477"/>
      <c r="W1404" s="1480" t="s">
        <v>1818</v>
      </c>
      <c r="X1404" s="1477"/>
      <c r="Y1404" s="1480" t="str">
        <f>IF(Q$832="Yes",M852,"")</f>
        <v/>
      </c>
      <c r="Z1404" s="1480" t="str">
        <f>IF(U$862="Yes",M882,"")</f>
        <v/>
      </c>
    </row>
    <row r="1405" spans="1:26" hidden="1" x14ac:dyDescent="0.25">
      <c r="A1405" s="1188" t="s">
        <v>1403</v>
      </c>
      <c r="B1405" s="1427" t="str">
        <f>IFERROR(_xlfn.CONCAT("G",('Configurable Tab'!$C$9+6)),"")</f>
        <v>G102</v>
      </c>
      <c r="C1405" s="1427" t="str">
        <f>IFERROR(_xlfn.CONCAT("G",('Configurable Tab'!$C$9+10)),"")</f>
        <v>G106</v>
      </c>
      <c r="D1405" s="1480" t="s">
        <v>1365</v>
      </c>
      <c r="E1405" s="867" t="s">
        <v>1806</v>
      </c>
      <c r="F1405" s="1480"/>
      <c r="G1405" s="1480"/>
      <c r="H1405" s="1480"/>
      <c r="I1405" s="1427" t="str">
        <f t="shared" si="223"/>
        <v>Minimum Units</v>
      </c>
      <c r="J1405" s="1480" t="str">
        <f t="shared" si="226"/>
        <v>F</v>
      </c>
      <c r="K1405" s="1480" t="str">
        <f t="shared" si="222"/>
        <v>Incentives</v>
      </c>
      <c r="L1405" s="1480"/>
      <c r="M1405" s="1480"/>
      <c r="N1405" s="1480"/>
      <c r="O1405" s="1477"/>
      <c r="P1405" s="1477"/>
      <c r="Q1405" s="1477"/>
      <c r="R1405" s="1480" t="s">
        <v>1550</v>
      </c>
      <c r="S1405" s="1477"/>
      <c r="T1405" s="1477"/>
      <c r="U1405" s="1477"/>
      <c r="V1405" s="1477"/>
      <c r="W1405" s="1480" t="s">
        <v>1818</v>
      </c>
      <c r="X1405" s="1477"/>
      <c r="Y1405" s="1480" t="str">
        <f>IF(Q$832="Yes",M855,"")</f>
        <v/>
      </c>
      <c r="Z1405" s="1480" t="str">
        <f>IF(U$862="Yes",M885,"")</f>
        <v/>
      </c>
    </row>
    <row r="1406" spans="1:26" hidden="1" x14ac:dyDescent="0.25">
      <c r="A1406" s="1188" t="s">
        <v>1403</v>
      </c>
      <c r="B1406" s="1427" t="str">
        <f>IFERROR(_xlfn.CONCAT("G",('Configurable Tab'!$C$9+6)),"")</f>
        <v>G102</v>
      </c>
      <c r="C1406" s="1427" t="str">
        <f>IFERROR(_xlfn.CONCAT("G",('Configurable Tab'!$C$9+11)),"")</f>
        <v>G107</v>
      </c>
      <c r="D1406" s="1480" t="s">
        <v>1365</v>
      </c>
      <c r="E1406" s="867" t="s">
        <v>1806</v>
      </c>
      <c r="F1406" s="1480"/>
      <c r="G1406" s="1480"/>
      <c r="H1406" s="1480"/>
      <c r="I1406" s="1427" t="str">
        <f t="shared" si="223"/>
        <v>Minimum Units</v>
      </c>
      <c r="J1406" s="1480" t="str">
        <f t="shared" si="226"/>
        <v>F</v>
      </c>
      <c r="K1406" s="1480" t="str">
        <f t="shared" si="222"/>
        <v>Incentives</v>
      </c>
      <c r="L1406" s="1480"/>
      <c r="M1406" s="1480"/>
      <c r="N1406" s="1480"/>
      <c r="O1406" s="1477"/>
      <c r="P1406" s="1477"/>
      <c r="Q1406" s="1477"/>
      <c r="R1406" s="1480" t="s">
        <v>1550</v>
      </c>
      <c r="S1406" s="1477"/>
      <c r="T1406" s="1477"/>
      <c r="U1406" s="1477"/>
      <c r="V1406" s="1477"/>
      <c r="W1406" s="1480" t="s">
        <v>1818</v>
      </c>
      <c r="X1406" s="1477"/>
      <c r="Y1406" s="1480" t="str">
        <f>IF(Q$832="Yes",M858,"")</f>
        <v/>
      </c>
      <c r="Z1406" s="1480" t="str">
        <f>IF(U$862="Yes",M888,"")</f>
        <v/>
      </c>
    </row>
    <row r="1407" spans="1:26" hidden="1" x14ac:dyDescent="0.25">
      <c r="A1407" s="1188" t="s">
        <v>1405</v>
      </c>
      <c r="B1407" s="1427" t="str">
        <f>IFERROR(_xlfn.CONCAT("K",('Configurable Tab'!$C$9+6)),"")</f>
        <v>K102</v>
      </c>
      <c r="C1407" s="1427" t="str">
        <f>IFERROR(_xlfn.CONCAT("K",('Configurable Tab'!$C$9+7)),"")</f>
        <v>K103</v>
      </c>
      <c r="D1407" s="1480" t="s">
        <v>1365</v>
      </c>
      <c r="E1407" s="867" t="s">
        <v>1806</v>
      </c>
      <c r="F1407" s="1480"/>
      <c r="G1407" s="1480"/>
      <c r="H1407" s="1480"/>
      <c r="I1407" s="1427" t="str">
        <f t="shared" si="223"/>
        <v>Rate % of Sales</v>
      </c>
      <c r="J1407" s="1480" t="str">
        <f t="shared" si="226"/>
        <v>F</v>
      </c>
      <c r="K1407" s="1480" t="str">
        <f t="shared" si="222"/>
        <v>Incentives</v>
      </c>
      <c r="L1407" s="1480"/>
      <c r="M1407" s="1480"/>
      <c r="N1407" s="1480"/>
      <c r="O1407" s="1477"/>
      <c r="P1407" s="1477"/>
      <c r="Q1407" s="1477"/>
      <c r="R1407" s="1480" t="s">
        <v>1550</v>
      </c>
      <c r="S1407" s="1482" t="s">
        <v>1817</v>
      </c>
      <c r="T1407" s="1477"/>
      <c r="U1407" s="1480">
        <f>IF(Q$796="Yes",M812,"")</f>
        <v>795</v>
      </c>
      <c r="V1407" s="1480" t="str">
        <f>IF(Q$814="Yes",M830,"")</f>
        <v/>
      </c>
      <c r="W1407" s="1480" t="s">
        <v>1818</v>
      </c>
      <c r="X1407" s="1477"/>
      <c r="Y1407" s="1480" t="str">
        <f>IF(Q$832="Yes",M848,"")</f>
        <v/>
      </c>
      <c r="Z1407" s="1480" t="str">
        <f>IF(U$862="Yes",M878,"")</f>
        <v/>
      </c>
    </row>
    <row r="1408" spans="1:26" hidden="1" x14ac:dyDescent="0.25">
      <c r="A1408" s="1188" t="s">
        <v>1405</v>
      </c>
      <c r="B1408" s="1427" t="str">
        <f>IFERROR(_xlfn.CONCAT("K",('Configurable Tab'!$C$9+6)),"")</f>
        <v>K102</v>
      </c>
      <c r="C1408" s="1427" t="str">
        <f>IFERROR(_xlfn.CONCAT("K",('Configurable Tab'!$C$9+8)),"")</f>
        <v>K104</v>
      </c>
      <c r="D1408" s="1480" t="s">
        <v>1365</v>
      </c>
      <c r="E1408" s="867" t="s">
        <v>1806</v>
      </c>
      <c r="F1408" s="1480"/>
      <c r="G1408" s="1480"/>
      <c r="H1408" s="1480"/>
      <c r="I1408" s="1427" t="str">
        <f t="shared" si="223"/>
        <v>Rate % of Sales</v>
      </c>
      <c r="J1408" s="1480" t="str">
        <f t="shared" si="226"/>
        <v>F</v>
      </c>
      <c r="K1408" s="1480" t="str">
        <f t="shared" si="222"/>
        <v>Incentives</v>
      </c>
      <c r="L1408" s="1480"/>
      <c r="M1408" s="1480"/>
      <c r="N1408" s="1480"/>
      <c r="O1408" s="1477"/>
      <c r="P1408" s="1477"/>
      <c r="Q1408" s="1477"/>
      <c r="R1408" s="1480" t="s">
        <v>1550</v>
      </c>
      <c r="S1408" s="1477"/>
      <c r="T1408" s="1477"/>
      <c r="U1408" s="1477"/>
      <c r="V1408" s="1477"/>
      <c r="W1408" s="1480" t="s">
        <v>1818</v>
      </c>
      <c r="X1408" s="1477"/>
      <c r="Y1408" s="1480" t="str">
        <f>IF(Q$832="Yes",M851,"")</f>
        <v/>
      </c>
      <c r="Z1408" s="1480" t="str">
        <f>IF(U$862="Yes",M881,"")</f>
        <v/>
      </c>
    </row>
    <row r="1409" spans="1:26" hidden="1" x14ac:dyDescent="0.25">
      <c r="A1409" s="1188" t="s">
        <v>1405</v>
      </c>
      <c r="B1409" s="1427" t="str">
        <f>IFERROR(_xlfn.CONCAT("K",('Configurable Tab'!$C$9+6)),"")</f>
        <v>K102</v>
      </c>
      <c r="C1409" s="1427" t="str">
        <f>IFERROR(_xlfn.CONCAT("K",('Configurable Tab'!$C$9+9)),"")</f>
        <v>K105</v>
      </c>
      <c r="D1409" s="1480" t="s">
        <v>1365</v>
      </c>
      <c r="E1409" s="867" t="s">
        <v>1806</v>
      </c>
      <c r="F1409" s="1480"/>
      <c r="G1409" s="1480"/>
      <c r="H1409" s="1480"/>
      <c r="I1409" s="1427" t="str">
        <f t="shared" si="223"/>
        <v>Rate % of Sales</v>
      </c>
      <c r="J1409" s="1480" t="str">
        <f t="shared" si="226"/>
        <v>F</v>
      </c>
      <c r="K1409" s="1480" t="str">
        <f t="shared" si="222"/>
        <v>Incentives</v>
      </c>
      <c r="L1409" s="1480"/>
      <c r="M1409" s="1480"/>
      <c r="N1409" s="1480"/>
      <c r="O1409" s="1477"/>
      <c r="P1409" s="1477"/>
      <c r="Q1409" s="1477"/>
      <c r="R1409" s="1480" t="s">
        <v>1550</v>
      </c>
      <c r="S1409" s="1477"/>
      <c r="T1409" s="1477"/>
      <c r="U1409" s="1477"/>
      <c r="V1409" s="1477"/>
      <c r="W1409" s="1480" t="s">
        <v>1818</v>
      </c>
      <c r="X1409" s="1477"/>
      <c r="Y1409" s="1480" t="str">
        <f>IF(Q$832="Yes",M854,"")</f>
        <v/>
      </c>
      <c r="Z1409" s="1480" t="str">
        <f>IF(U$862="Yes",M884,"")</f>
        <v/>
      </c>
    </row>
    <row r="1410" spans="1:26" hidden="1" x14ac:dyDescent="0.25">
      <c r="A1410" s="1188" t="s">
        <v>1405</v>
      </c>
      <c r="B1410" s="1427" t="str">
        <f>IFERROR(_xlfn.CONCAT("K",('Configurable Tab'!$C$9+6)),"")</f>
        <v>K102</v>
      </c>
      <c r="C1410" s="1427" t="str">
        <f>IFERROR(_xlfn.CONCAT("K",('Configurable Tab'!$C$9+10)),"")</f>
        <v>K106</v>
      </c>
      <c r="D1410" s="1480" t="s">
        <v>1365</v>
      </c>
      <c r="E1410" s="867" t="s">
        <v>1806</v>
      </c>
      <c r="F1410" s="1480"/>
      <c r="G1410" s="1480"/>
      <c r="H1410" s="1480"/>
      <c r="I1410" s="1427" t="str">
        <f t="shared" si="223"/>
        <v>Rate % of Sales</v>
      </c>
      <c r="J1410" s="1480" t="str">
        <f t="shared" si="226"/>
        <v>F</v>
      </c>
      <c r="K1410" s="1480" t="str">
        <f t="shared" si="222"/>
        <v>Incentives</v>
      </c>
      <c r="L1410" s="1480"/>
      <c r="M1410" s="1480"/>
      <c r="N1410" s="1480"/>
      <c r="O1410" s="1477"/>
      <c r="P1410" s="1477"/>
      <c r="Q1410" s="1477"/>
      <c r="R1410" s="1480" t="s">
        <v>1550</v>
      </c>
      <c r="S1410" s="1477"/>
      <c r="T1410" s="1477"/>
      <c r="U1410" s="1477"/>
      <c r="V1410" s="1477"/>
      <c r="W1410" s="1480" t="s">
        <v>1818</v>
      </c>
      <c r="X1410" s="1477"/>
      <c r="Y1410" s="1480" t="str">
        <f>IF(Q$832="Yes",M857,"")</f>
        <v/>
      </c>
      <c r="Z1410" s="1480" t="str">
        <f>IF(U$862="Yes",M887,"")</f>
        <v/>
      </c>
    </row>
    <row r="1411" spans="1:26" hidden="1" x14ac:dyDescent="0.25">
      <c r="A1411" s="1188" t="s">
        <v>1405</v>
      </c>
      <c r="B1411" s="1427" t="str">
        <f>IFERROR(_xlfn.CONCAT("K",('Configurable Tab'!$C$9+6)),"")</f>
        <v>K102</v>
      </c>
      <c r="C1411" s="1427" t="str">
        <f>IFERROR(_xlfn.CONCAT("K",('Configurable Tab'!$C$9+11)),"")</f>
        <v>K107</v>
      </c>
      <c r="D1411" s="1480" t="s">
        <v>1365</v>
      </c>
      <c r="E1411" s="867" t="s">
        <v>1806</v>
      </c>
      <c r="F1411" s="1480"/>
      <c r="G1411" s="1480"/>
      <c r="H1411" s="1480"/>
      <c r="I1411" s="1427" t="str">
        <f t="shared" si="223"/>
        <v>Rate % of Sales</v>
      </c>
      <c r="J1411" s="1480" t="str">
        <f t="shared" si="226"/>
        <v>F</v>
      </c>
      <c r="K1411" s="1480" t="str">
        <f t="shared" si="222"/>
        <v>Incentives</v>
      </c>
      <c r="L1411" s="1480"/>
      <c r="M1411" s="1480"/>
      <c r="N1411" s="1480"/>
      <c r="O1411" s="1477"/>
      <c r="P1411" s="1477"/>
      <c r="Q1411" s="1477"/>
      <c r="R1411" s="1480" t="s">
        <v>1550</v>
      </c>
      <c r="S1411" s="1477"/>
      <c r="T1411" s="1477"/>
      <c r="U1411" s="1477"/>
      <c r="V1411" s="1477"/>
      <c r="W1411" s="1480" t="s">
        <v>1818</v>
      </c>
      <c r="X1411" s="1477"/>
      <c r="Y1411" s="1480" t="str">
        <f>IF(Q$832="Yes",M860,"")</f>
        <v/>
      </c>
      <c r="Z1411" s="1480" t="str">
        <f>IF(U$862="Yes",M890,"")</f>
        <v/>
      </c>
    </row>
    <row r="1412" spans="1:26" hidden="1" x14ac:dyDescent="0.25">
      <c r="A1412" s="1109" t="s">
        <v>526</v>
      </c>
      <c r="B1412" s="1427" t="str">
        <f>IFERROR(_xlfn.CONCAT("D",('Configurable Tab'!$C$10+1)),"")</f>
        <v>D111</v>
      </c>
      <c r="C1412" s="1427" t="str">
        <f>IFERROR(_xlfn.CONCAT("E",('Configurable Tab'!$C$10+1)),"")</f>
        <v>E111</v>
      </c>
      <c r="D1412" s="1480" t="s">
        <v>1365</v>
      </c>
      <c r="E1412" s="867" t="s">
        <v>1806</v>
      </c>
      <c r="F1412" s="1480"/>
      <c r="G1412" s="1480"/>
      <c r="H1412" s="1480"/>
      <c r="I1412" s="1427" t="str">
        <f t="shared" si="223"/>
        <v>Offer this Incentive?</v>
      </c>
      <c r="J1412" s="1480" t="str">
        <f>$Q$1&amp;T1412</f>
        <v>F875</v>
      </c>
      <c r="K1412" s="1480" t="str">
        <f t="shared" si="222"/>
        <v>Incentives</v>
      </c>
      <c r="L1412" s="1480"/>
      <c r="M1412" s="1480"/>
      <c r="N1412" s="1480"/>
      <c r="O1412" s="1477" t="s">
        <v>1819</v>
      </c>
      <c r="P1412" s="1477"/>
      <c r="Q1412" s="1427" t="str">
        <f>IFERROR(_xlfn.CONCAT("C",('Configurable Tab'!$C10+1)),"")</f>
        <v>C111</v>
      </c>
      <c r="R1412" s="1480" t="s">
        <v>396</v>
      </c>
      <c r="S1412" s="1477"/>
      <c r="T1412" s="1480">
        <f>IF(Q$892="Yes",M892,"")</f>
        <v>875</v>
      </c>
      <c r="U1412" s="1477"/>
      <c r="V1412" s="1477"/>
      <c r="W1412" s="1477"/>
      <c r="X1412" s="1477"/>
      <c r="Y1412" s="1477"/>
      <c r="Z1412" s="1477"/>
    </row>
    <row r="1413" spans="1:26" hidden="1" x14ac:dyDescent="0.25">
      <c r="A1413" s="1189" t="s">
        <v>1399</v>
      </c>
      <c r="B1413" s="1427" t="str">
        <f>IFERROR(_xlfn.CONCAT("D",('Configurable Tab'!$C$10+2)),"")</f>
        <v>D112</v>
      </c>
      <c r="C1413" s="1427" t="str">
        <f>IFERROR(_xlfn.CONCAT("E",('Configurable Tab'!$C$10+2)),"")</f>
        <v>E112</v>
      </c>
      <c r="D1413" s="1480" t="s">
        <v>1365</v>
      </c>
      <c r="E1413" s="867" t="s">
        <v>1806</v>
      </c>
      <c r="F1413" s="1480"/>
      <c r="G1413" s="1480"/>
      <c r="H1413" s="1480"/>
      <c r="I1413" s="1427" t="str">
        <f t="shared" si="223"/>
        <v>Incentive Type</v>
      </c>
      <c r="J1413" s="1480" t="str">
        <f t="shared" ref="J1413:J1461" si="227">$Q$1&amp;T1413</f>
        <v>F876</v>
      </c>
      <c r="K1413" s="1480" t="str">
        <f t="shared" ref="K1413:K1476" si="228">IF(J1413&lt;&gt;"",E1413,"")</f>
        <v>Incentives</v>
      </c>
      <c r="L1413" s="1480"/>
      <c r="M1413" s="1480"/>
      <c r="N1413" s="1480"/>
      <c r="O1413" s="1477"/>
      <c r="P1413" s="1477"/>
      <c r="Q1413" s="1477"/>
      <c r="R1413" s="1480" t="s">
        <v>396</v>
      </c>
      <c r="S1413" s="1477"/>
      <c r="T1413" s="1480">
        <f>IF(Q$892="Yes",M893,"")</f>
        <v>876</v>
      </c>
      <c r="U1413" s="1477"/>
      <c r="V1413" s="1477"/>
      <c r="W1413" s="1477"/>
      <c r="X1413" s="1477"/>
      <c r="Y1413" s="1477"/>
      <c r="Z1413" s="1477"/>
    </row>
    <row r="1414" spans="1:26" hidden="1" x14ac:dyDescent="0.25">
      <c r="A1414" s="1189" t="s">
        <v>1401</v>
      </c>
      <c r="B1414" s="1427" t="str">
        <f>IFERROR(_xlfn.CONCAT("D",('Configurable Tab'!$C$10+4)),"")</f>
        <v>D114</v>
      </c>
      <c r="C1414" s="1427" t="str">
        <f>IFERROR(_xlfn.CONCAT("E",('Configurable Tab'!$C$10+4)),"")</f>
        <v>E114</v>
      </c>
      <c r="D1414" s="1480" t="s">
        <v>1365</v>
      </c>
      <c r="E1414" s="867" t="s">
        <v>1806</v>
      </c>
      <c r="F1414" s="1480"/>
      <c r="G1414" s="1480"/>
      <c r="H1414" s="1480"/>
      <c r="I1414" s="1427" t="str">
        <f t="shared" ref="I1414:I1477" si="229">IF(J1414&lt;&gt;"",A1414,"")</f>
        <v>Incentive Effective Date</v>
      </c>
      <c r="J1414" s="1480" t="str">
        <f t="shared" si="227"/>
        <v>F884</v>
      </c>
      <c r="K1414" s="1480" t="str">
        <f t="shared" si="228"/>
        <v>Incentives</v>
      </c>
      <c r="L1414" s="1480"/>
      <c r="M1414" s="1480"/>
      <c r="N1414" s="1480"/>
      <c r="O1414" s="1477"/>
      <c r="P1414" s="1477"/>
      <c r="Q1414" s="1477"/>
      <c r="R1414" s="1480" t="s">
        <v>396</v>
      </c>
      <c r="S1414" s="1477"/>
      <c r="T1414" s="1480">
        <f>IF(Q$892="Yes",M901,"")</f>
        <v>884</v>
      </c>
      <c r="U1414" s="1477"/>
      <c r="V1414" s="1477"/>
      <c r="W1414" s="1477"/>
      <c r="X1414" s="1477"/>
      <c r="Y1414" s="1477"/>
      <c r="Z1414" s="1477"/>
    </row>
    <row r="1415" spans="1:26" hidden="1" x14ac:dyDescent="0.25">
      <c r="A1415" s="1189" t="s">
        <v>1402</v>
      </c>
      <c r="B1415" s="1427" t="str">
        <f>IFERROR(_xlfn.CONCAT("D",('Configurable Tab'!$C$10+5)),"")</f>
        <v>D115</v>
      </c>
      <c r="C1415" s="1427" t="str">
        <f>IFERROR(_xlfn.CONCAT("E",('Configurable Tab'!$C$10+5)),"")</f>
        <v>E115</v>
      </c>
      <c r="D1415" s="1480" t="s">
        <v>1365</v>
      </c>
      <c r="E1415" s="867" t="s">
        <v>1806</v>
      </c>
      <c r="F1415" s="1480"/>
      <c r="G1415" s="1480"/>
      <c r="H1415" s="1480"/>
      <c r="I1415" s="1427" t="str">
        <f t="shared" si="229"/>
        <v>Incentive Expiration Date</v>
      </c>
      <c r="J1415" s="1480" t="str">
        <f t="shared" si="227"/>
        <v>F885</v>
      </c>
      <c r="K1415" s="1480" t="str">
        <f t="shared" si="228"/>
        <v>Incentives</v>
      </c>
      <c r="L1415" s="1480"/>
      <c r="M1415" s="1480"/>
      <c r="N1415" s="1480"/>
      <c r="O1415" s="1477"/>
      <c r="P1415" s="1477"/>
      <c r="Q1415" s="1477"/>
      <c r="R1415" s="1480" t="s">
        <v>396</v>
      </c>
      <c r="S1415" s="1477"/>
      <c r="T1415" s="1480">
        <f>IF(Q$892="Yes",M902,"")</f>
        <v>885</v>
      </c>
      <c r="U1415" s="1477"/>
      <c r="V1415" s="1477"/>
      <c r="W1415" s="1477"/>
      <c r="X1415" s="1477"/>
      <c r="Y1415" s="1477"/>
      <c r="Z1415" s="1477"/>
    </row>
    <row r="1416" spans="1:26" hidden="1" x14ac:dyDescent="0.25">
      <c r="A1416" s="1189" t="s">
        <v>1396</v>
      </c>
      <c r="B1416" s="1427" t="str">
        <f>IFERROR(_xlfn.CONCAT("G",('Configurable Tab'!$C$10+1)),"")</f>
        <v>G111</v>
      </c>
      <c r="C1416" s="1427" t="str">
        <f>IFERROR(_xlfn.CONCAT("G",('Configurable Tab'!$C$10+2)),"")</f>
        <v>G112</v>
      </c>
      <c r="D1416" s="1480" t="s">
        <v>1365</v>
      </c>
      <c r="E1416" s="867" t="s">
        <v>1806</v>
      </c>
      <c r="F1416" s="1480"/>
      <c r="G1416" s="1480"/>
      <c r="H1416" s="1480"/>
      <c r="I1416" s="1427" t="str">
        <f t="shared" si="229"/>
        <v>Incentive Period</v>
      </c>
      <c r="J1416" s="1480" t="str">
        <f t="shared" si="227"/>
        <v>F877</v>
      </c>
      <c r="K1416" s="1480" t="str">
        <f t="shared" si="228"/>
        <v>Incentives</v>
      </c>
      <c r="L1416" s="1480"/>
      <c r="M1416" s="1480"/>
      <c r="N1416" s="1480"/>
      <c r="O1416" s="1477"/>
      <c r="P1416" s="1477"/>
      <c r="Q1416" s="1477"/>
      <c r="R1416" s="1480" t="s">
        <v>396</v>
      </c>
      <c r="S1416" s="1477"/>
      <c r="T1416" s="1480">
        <f>IF(Q$892="Yes",M894,"")</f>
        <v>877</v>
      </c>
      <c r="U1416" s="1477"/>
      <c r="V1416" s="1477"/>
      <c r="W1416" s="1477"/>
      <c r="X1416" s="1477"/>
      <c r="Y1416" s="1477"/>
      <c r="Z1416" s="1477"/>
    </row>
    <row r="1417" spans="1:26" hidden="1" x14ac:dyDescent="0.25">
      <c r="A1417" s="1189" t="s">
        <v>1397</v>
      </c>
      <c r="B1417" s="1427" t="str">
        <f>IFERROR(_xlfn.CONCAT("I",('Configurable Tab'!$C$10+1)),"")</f>
        <v>I111</v>
      </c>
      <c r="C1417" s="1427" t="str">
        <f>IFERROR(_xlfn.CONCAT("I",('Configurable Tab'!$C$10+2)),"")</f>
        <v>I112</v>
      </c>
      <c r="D1417" s="1480" t="s">
        <v>1365</v>
      </c>
      <c r="E1417" s="867" t="s">
        <v>1806</v>
      </c>
      <c r="F1417" s="1480"/>
      <c r="G1417" s="1480"/>
      <c r="H1417" s="1480"/>
      <c r="I1417" s="1427" t="str">
        <f t="shared" si="229"/>
        <v>Payment Method</v>
      </c>
      <c r="J1417" s="1480" t="str">
        <f t="shared" si="227"/>
        <v>F878</v>
      </c>
      <c r="K1417" s="1480" t="str">
        <f t="shared" si="228"/>
        <v>Incentives</v>
      </c>
      <c r="L1417" s="1480"/>
      <c r="M1417" s="1480"/>
      <c r="N1417" s="1480"/>
      <c r="O1417" s="1477"/>
      <c r="P1417" s="1477"/>
      <c r="Q1417" s="1477"/>
      <c r="R1417" s="1480" t="s">
        <v>396</v>
      </c>
      <c r="S1417" s="1477"/>
      <c r="T1417" s="1480">
        <f>IF(Q$892="Yes",M895,"")</f>
        <v>878</v>
      </c>
      <c r="U1417" s="1477"/>
      <c r="V1417" s="1477"/>
      <c r="W1417" s="1477"/>
      <c r="X1417" s="1477"/>
      <c r="Y1417" s="1477"/>
      <c r="Z1417" s="1477"/>
    </row>
    <row r="1418" spans="1:26" hidden="1" x14ac:dyDescent="0.25">
      <c r="A1418" s="1189" t="s">
        <v>839</v>
      </c>
      <c r="B1418" s="1427" t="str">
        <f>IFERROR(_xlfn.CONCAT("K",('Configurable Tab'!$C$10+1)),"")</f>
        <v>K111</v>
      </c>
      <c r="C1418" s="1427" t="str">
        <f>IFERROR(_xlfn.CONCAT("K",('Configurable Tab'!$C$10+2)),"")</f>
        <v>K112</v>
      </c>
      <c r="D1418" s="1480" t="s">
        <v>1365</v>
      </c>
      <c r="E1418" s="867" t="s">
        <v>1806</v>
      </c>
      <c r="F1418" s="1480"/>
      <c r="G1418" s="1480"/>
      <c r="H1418" s="1480"/>
      <c r="I1418" s="1427" t="str">
        <f t="shared" si="229"/>
        <v>Paid to:</v>
      </c>
      <c r="J1418" s="1480" t="str">
        <f t="shared" si="227"/>
        <v>F879</v>
      </c>
      <c r="K1418" s="1480" t="str">
        <f t="shared" si="228"/>
        <v>Incentives</v>
      </c>
      <c r="L1418" s="1480"/>
      <c r="M1418" s="1480"/>
      <c r="N1418" s="1480"/>
      <c r="O1418" s="1477"/>
      <c r="P1418" s="1477"/>
      <c r="Q1418" s="1477"/>
      <c r="R1418" s="1480" t="s">
        <v>396</v>
      </c>
      <c r="S1418" s="1477"/>
      <c r="T1418" s="1480">
        <f>IF(Q$892="Yes",M896,"")</f>
        <v>879</v>
      </c>
      <c r="U1418" s="1477"/>
      <c r="V1418" s="1477"/>
      <c r="W1418" s="1477"/>
      <c r="X1418" s="1477"/>
      <c r="Y1418" s="1477"/>
      <c r="Z1418" s="1477"/>
    </row>
    <row r="1419" spans="1:26" hidden="1" x14ac:dyDescent="0.25">
      <c r="A1419" s="1189" t="s">
        <v>1398</v>
      </c>
      <c r="B1419" s="1427" t="str">
        <f>IFERROR(_xlfn.CONCAT("M",('Configurable Tab'!$C$10+1)),"")</f>
        <v>M111</v>
      </c>
      <c r="C1419" s="1427" t="str">
        <f>IFERROR(_xlfn.CONCAT("M",('Configurable Tab'!$C$10+2)),"")</f>
        <v>M112</v>
      </c>
      <c r="D1419" s="1480" t="s">
        <v>1365</v>
      </c>
      <c r="E1419" s="867" t="s">
        <v>1806</v>
      </c>
      <c r="F1419" s="1480"/>
      <c r="G1419" s="1480"/>
      <c r="H1419" s="1480"/>
      <c r="I1419" s="1427" t="str">
        <f t="shared" si="229"/>
        <v>AP/AR Vendor Number</v>
      </c>
      <c r="J1419" s="1480" t="str">
        <f t="shared" si="227"/>
        <v>F880</v>
      </c>
      <c r="K1419" s="1480" t="str">
        <f t="shared" si="228"/>
        <v>Incentives</v>
      </c>
      <c r="L1419" s="1480"/>
      <c r="M1419" s="1480"/>
      <c r="N1419" s="1480"/>
      <c r="O1419" s="1477"/>
      <c r="P1419" s="1477"/>
      <c r="Q1419" s="1477"/>
      <c r="R1419" s="1480" t="s">
        <v>396</v>
      </c>
      <c r="S1419" s="1477"/>
      <c r="T1419" s="1480">
        <f>IF(Q$892="Yes",M897,"")</f>
        <v>880</v>
      </c>
      <c r="U1419" s="1477"/>
      <c r="V1419" s="1477"/>
      <c r="W1419" s="1477"/>
      <c r="X1419" s="1477"/>
      <c r="Y1419" s="1477"/>
      <c r="Z1419" s="1477"/>
    </row>
    <row r="1420" spans="1:26" hidden="1" x14ac:dyDescent="0.25">
      <c r="A1420" s="1189" t="s">
        <v>1403</v>
      </c>
      <c r="B1420" s="1427" t="str">
        <f>IFERROR(_xlfn.CONCAT("G",('Configurable Tab'!$C$10+4)),"")</f>
        <v>G114</v>
      </c>
      <c r="C1420" s="1427" t="str">
        <f>IFERROR(_xlfn.CONCAT("G",('Configurable Tab'!$C$10+5)),"")</f>
        <v>G115</v>
      </c>
      <c r="D1420" s="1480" t="s">
        <v>1365</v>
      </c>
      <c r="E1420" s="867" t="s">
        <v>1806</v>
      </c>
      <c r="F1420" s="1480"/>
      <c r="G1420" s="1480"/>
      <c r="H1420" s="1480"/>
      <c r="I1420" s="1427" t="str">
        <f t="shared" si="229"/>
        <v>Minimum Units</v>
      </c>
      <c r="J1420" s="1480" t="str">
        <f t="shared" si="227"/>
        <v>F889</v>
      </c>
      <c r="K1420" s="1480" t="str">
        <f t="shared" si="228"/>
        <v>Incentives</v>
      </c>
      <c r="L1420" s="1480"/>
      <c r="M1420" s="1480"/>
      <c r="N1420" s="1480"/>
      <c r="O1420" s="1477"/>
      <c r="P1420" s="1477"/>
      <c r="Q1420" s="1477"/>
      <c r="R1420" s="1480" t="s">
        <v>396</v>
      </c>
      <c r="S1420" s="1477"/>
      <c r="T1420" s="1480">
        <f>IF(Q$892="Yes",M906,"")</f>
        <v>889</v>
      </c>
      <c r="U1420" s="1477"/>
      <c r="V1420" s="1477"/>
      <c r="W1420" s="1477"/>
      <c r="X1420" s="1477"/>
      <c r="Y1420" s="1477"/>
      <c r="Z1420" s="1477"/>
    </row>
    <row r="1421" spans="1:26" hidden="1" x14ac:dyDescent="0.25">
      <c r="A1421" s="1189" t="s">
        <v>1405</v>
      </c>
      <c r="B1421" s="1427" t="str">
        <f>IFERROR(_xlfn.CONCAT("K",('Configurable Tab'!$C$10+4)),"")</f>
        <v>K114</v>
      </c>
      <c r="C1421" s="1427" t="str">
        <f>IFERROR(_xlfn.CONCAT("K",('Configurable Tab'!$C$10+5)),"")</f>
        <v>K115</v>
      </c>
      <c r="D1421" s="1480" t="s">
        <v>1365</v>
      </c>
      <c r="E1421" s="867" t="s">
        <v>1806</v>
      </c>
      <c r="F1421" s="1480"/>
      <c r="G1421" s="1480"/>
      <c r="H1421" s="1480"/>
      <c r="I1421" s="1427" t="str">
        <f t="shared" si="229"/>
        <v>Rate % of Sales</v>
      </c>
      <c r="J1421" s="1480" t="str">
        <f t="shared" si="227"/>
        <v>F891</v>
      </c>
      <c r="K1421" s="1480" t="str">
        <f t="shared" si="228"/>
        <v>Incentives</v>
      </c>
      <c r="L1421" s="1480"/>
      <c r="M1421" s="1480"/>
      <c r="N1421" s="1480"/>
      <c r="O1421" s="1477"/>
      <c r="P1421" s="1477"/>
      <c r="Q1421" s="1477"/>
      <c r="R1421" s="1480" t="s">
        <v>396</v>
      </c>
      <c r="S1421" s="1477"/>
      <c r="T1421" s="1480">
        <f>IF(Q$892="Yes",M908,"")</f>
        <v>891</v>
      </c>
      <c r="U1421" s="1477"/>
      <c r="V1421" s="1477"/>
      <c r="W1421" s="1477"/>
      <c r="X1421" s="1477"/>
      <c r="Y1421" s="1477"/>
      <c r="Z1421" s="1477"/>
    </row>
    <row r="1422" spans="1:26" hidden="1" x14ac:dyDescent="0.25">
      <c r="A1422" s="1190" t="s">
        <v>526</v>
      </c>
      <c r="B1422" s="1427" t="str">
        <f>IFERROR(_xlfn.CONCAT("D",('Configurable Tab'!$C$11+1)),"")</f>
        <v>D119</v>
      </c>
      <c r="C1422" s="1427" t="str">
        <f>IFERROR(_xlfn.CONCAT("E",('Configurable Tab'!$C$11+1)),"")</f>
        <v>E119</v>
      </c>
      <c r="D1422" s="1480" t="s">
        <v>1365</v>
      </c>
      <c r="E1422" s="867" t="s">
        <v>1806</v>
      </c>
      <c r="F1422" s="1480"/>
      <c r="G1422" s="1480"/>
      <c r="H1422" s="1480"/>
      <c r="I1422" s="1427" t="str">
        <f t="shared" si="229"/>
        <v>Offer this Incentive?</v>
      </c>
      <c r="J1422" s="1480" t="str">
        <f t="shared" si="227"/>
        <v>F</v>
      </c>
      <c r="K1422" s="1480" t="str">
        <f t="shared" si="228"/>
        <v>Incentives</v>
      </c>
      <c r="L1422" s="1480"/>
      <c r="M1422" s="1480"/>
      <c r="N1422" s="1480"/>
      <c r="O1422" s="1477" t="s">
        <v>1820</v>
      </c>
      <c r="P1422" s="1477"/>
      <c r="Q1422" s="1427" t="str">
        <f>IFERROR(_xlfn.CONCAT("C",('Configurable Tab'!$C11+1)),"")</f>
        <v>C119</v>
      </c>
      <c r="R1422" s="1480" t="s">
        <v>396</v>
      </c>
      <c r="S1422" s="1477"/>
      <c r="T1422" s="1480" t="str">
        <f>IF(Q$911="Yes",M911,"")</f>
        <v/>
      </c>
      <c r="U1422" s="1477"/>
      <c r="V1422" s="1477"/>
      <c r="W1422" s="1477"/>
      <c r="X1422" s="1477"/>
      <c r="Y1422" s="1477"/>
      <c r="Z1422" s="1477"/>
    </row>
    <row r="1423" spans="1:26" hidden="1" x14ac:dyDescent="0.25">
      <c r="A1423" s="1191" t="s">
        <v>1399</v>
      </c>
      <c r="B1423" s="1427" t="str">
        <f>IFERROR(_xlfn.CONCAT("D",('Configurable Tab'!$C$11+2)),"")</f>
        <v>D120</v>
      </c>
      <c r="C1423" s="1427" t="str">
        <f>IFERROR(_xlfn.CONCAT("E",('Configurable Tab'!$C$11+2)),"")</f>
        <v>E120</v>
      </c>
      <c r="D1423" s="1480" t="s">
        <v>1365</v>
      </c>
      <c r="E1423" s="867" t="s">
        <v>1806</v>
      </c>
      <c r="F1423" s="1480"/>
      <c r="G1423" s="1480"/>
      <c r="H1423" s="1480"/>
      <c r="I1423" s="1427" t="str">
        <f t="shared" si="229"/>
        <v>Incentive Type</v>
      </c>
      <c r="J1423" s="1480" t="str">
        <f t="shared" si="227"/>
        <v>F</v>
      </c>
      <c r="K1423" s="1480" t="str">
        <f t="shared" si="228"/>
        <v>Incentives</v>
      </c>
      <c r="L1423" s="1480"/>
      <c r="M1423" s="1480"/>
      <c r="N1423" s="1480"/>
      <c r="O1423" s="1477"/>
      <c r="P1423" s="1477"/>
      <c r="Q1423" s="1477"/>
      <c r="R1423" s="1480" t="s">
        <v>396</v>
      </c>
      <c r="S1423" s="1477"/>
      <c r="T1423" s="1480" t="str">
        <f>IF(Q$911="Yes",M912,"")</f>
        <v/>
      </c>
      <c r="U1423" s="1477"/>
      <c r="V1423" s="1477"/>
      <c r="W1423" s="1477"/>
      <c r="X1423" s="1477"/>
      <c r="Y1423" s="1477"/>
      <c r="Z1423" s="1477"/>
    </row>
    <row r="1424" spans="1:26" hidden="1" x14ac:dyDescent="0.25">
      <c r="A1424" s="1191" t="s">
        <v>1401</v>
      </c>
      <c r="B1424" s="1427" t="str">
        <f>IFERROR(_xlfn.CONCAT("D",('Configurable Tab'!$C$11+4)),"")</f>
        <v>D122</v>
      </c>
      <c r="C1424" s="1427" t="str">
        <f>IFERROR(_xlfn.CONCAT("E",('Configurable Tab'!$C$11+4)),"")</f>
        <v>E122</v>
      </c>
      <c r="D1424" s="1480" t="s">
        <v>1365</v>
      </c>
      <c r="E1424" s="867" t="s">
        <v>1806</v>
      </c>
      <c r="F1424" s="1480"/>
      <c r="G1424" s="1480"/>
      <c r="H1424" s="1480"/>
      <c r="I1424" s="1427" t="str">
        <f t="shared" si="229"/>
        <v>Incentive Effective Date</v>
      </c>
      <c r="J1424" s="1480" t="str">
        <f t="shared" si="227"/>
        <v>F</v>
      </c>
      <c r="K1424" s="1480" t="str">
        <f t="shared" si="228"/>
        <v>Incentives</v>
      </c>
      <c r="L1424" s="1480"/>
      <c r="M1424" s="1480"/>
      <c r="N1424" s="1480"/>
      <c r="O1424" s="1477"/>
      <c r="P1424" s="1477"/>
      <c r="Q1424" s="1477"/>
      <c r="R1424" s="1480" t="s">
        <v>396</v>
      </c>
      <c r="S1424" s="1477"/>
      <c r="T1424" s="1480" t="str">
        <f>IF(Q$911="Yes",M920,"")</f>
        <v/>
      </c>
      <c r="U1424" s="1477"/>
      <c r="V1424" s="1477"/>
      <c r="W1424" s="1477"/>
      <c r="X1424" s="1477"/>
      <c r="Y1424" s="1477"/>
      <c r="Z1424" s="1477"/>
    </row>
    <row r="1425" spans="1:26" hidden="1" x14ac:dyDescent="0.25">
      <c r="A1425" s="1191" t="s">
        <v>1402</v>
      </c>
      <c r="B1425" s="1427" t="str">
        <f>IFERROR(_xlfn.CONCAT("D",('Configurable Tab'!$C$11+5)),"")</f>
        <v>D123</v>
      </c>
      <c r="C1425" s="1427" t="str">
        <f>IFERROR(_xlfn.CONCAT("E",('Configurable Tab'!$C$11+5)),"")</f>
        <v>E123</v>
      </c>
      <c r="D1425" s="1480" t="s">
        <v>1365</v>
      </c>
      <c r="E1425" s="867" t="s">
        <v>1806</v>
      </c>
      <c r="F1425" s="1480"/>
      <c r="G1425" s="1480"/>
      <c r="H1425" s="1480"/>
      <c r="I1425" s="1427" t="str">
        <f t="shared" si="229"/>
        <v>Incentive Expiration Date</v>
      </c>
      <c r="J1425" s="1480" t="str">
        <f t="shared" si="227"/>
        <v>F</v>
      </c>
      <c r="K1425" s="1480" t="str">
        <f t="shared" si="228"/>
        <v>Incentives</v>
      </c>
      <c r="L1425" s="1480"/>
      <c r="M1425" s="1480"/>
      <c r="N1425" s="1480"/>
      <c r="O1425" s="1477"/>
      <c r="P1425" s="1477"/>
      <c r="Q1425" s="1477"/>
      <c r="R1425" s="1480" t="s">
        <v>396</v>
      </c>
      <c r="S1425" s="1477"/>
      <c r="T1425" s="1480" t="str">
        <f>IF(Q$911="Yes",M921,"")</f>
        <v/>
      </c>
      <c r="U1425" s="1477"/>
      <c r="V1425" s="1477"/>
      <c r="W1425" s="1477"/>
      <c r="X1425" s="1477"/>
      <c r="Y1425" s="1477"/>
      <c r="Z1425" s="1477"/>
    </row>
    <row r="1426" spans="1:26" hidden="1" x14ac:dyDescent="0.25">
      <c r="A1426" s="1191" t="s">
        <v>1396</v>
      </c>
      <c r="B1426" s="1427" t="str">
        <f>IFERROR(_xlfn.CONCAT("G",('Configurable Tab'!$C$11+1)),"")</f>
        <v>G119</v>
      </c>
      <c r="C1426" s="1427" t="str">
        <f>IFERROR(_xlfn.CONCAT("G",('Configurable Tab'!$C$11+2)),"")</f>
        <v>G120</v>
      </c>
      <c r="D1426" s="1480" t="s">
        <v>1365</v>
      </c>
      <c r="E1426" s="867" t="s">
        <v>1806</v>
      </c>
      <c r="F1426" s="1480"/>
      <c r="G1426" s="1480"/>
      <c r="H1426" s="1480"/>
      <c r="I1426" s="1427" t="str">
        <f t="shared" si="229"/>
        <v>Incentive Period</v>
      </c>
      <c r="J1426" s="1480" t="str">
        <f t="shared" si="227"/>
        <v>F</v>
      </c>
      <c r="K1426" s="1480" t="str">
        <f t="shared" si="228"/>
        <v>Incentives</v>
      </c>
      <c r="L1426" s="1480"/>
      <c r="M1426" s="1480"/>
      <c r="N1426" s="1480"/>
      <c r="O1426" s="1477"/>
      <c r="P1426" s="1477"/>
      <c r="Q1426" s="1477"/>
      <c r="R1426" s="1480" t="s">
        <v>396</v>
      </c>
      <c r="S1426" s="1477"/>
      <c r="T1426" s="1480" t="str">
        <f>IF(Q$911="Yes",M913,"")</f>
        <v/>
      </c>
      <c r="U1426" s="1477"/>
      <c r="V1426" s="1477"/>
      <c r="W1426" s="1477"/>
      <c r="X1426" s="1477"/>
      <c r="Y1426" s="1477"/>
      <c r="Z1426" s="1477"/>
    </row>
    <row r="1427" spans="1:26" hidden="1" x14ac:dyDescent="0.25">
      <c r="A1427" s="1191" t="s">
        <v>1397</v>
      </c>
      <c r="B1427" s="1427" t="str">
        <f>IFERROR(_xlfn.CONCAT("I",('Configurable Tab'!$C$11+1)),"")</f>
        <v>I119</v>
      </c>
      <c r="C1427" s="1427" t="str">
        <f>IFERROR(_xlfn.CONCAT("I",('Configurable Tab'!$C$11+2)),"")</f>
        <v>I120</v>
      </c>
      <c r="D1427" s="1480" t="s">
        <v>1365</v>
      </c>
      <c r="E1427" s="867" t="s">
        <v>1806</v>
      </c>
      <c r="F1427" s="1480"/>
      <c r="G1427" s="1480"/>
      <c r="H1427" s="1480"/>
      <c r="I1427" s="1427" t="str">
        <f t="shared" si="229"/>
        <v>Payment Method</v>
      </c>
      <c r="J1427" s="1480" t="str">
        <f t="shared" si="227"/>
        <v>F</v>
      </c>
      <c r="K1427" s="1480" t="str">
        <f t="shared" si="228"/>
        <v>Incentives</v>
      </c>
      <c r="L1427" s="1480"/>
      <c r="M1427" s="1480"/>
      <c r="N1427" s="1480"/>
      <c r="O1427" s="1477"/>
      <c r="P1427" s="1477"/>
      <c r="Q1427" s="1477"/>
      <c r="R1427" s="1480" t="s">
        <v>396</v>
      </c>
      <c r="S1427" s="1477"/>
      <c r="T1427" s="1480" t="str">
        <f>IF(Q$911="Yes",M914,"")</f>
        <v/>
      </c>
      <c r="U1427" s="1477"/>
      <c r="V1427" s="1477"/>
      <c r="W1427" s="1477"/>
      <c r="X1427" s="1477"/>
      <c r="Y1427" s="1477"/>
      <c r="Z1427" s="1477"/>
    </row>
    <row r="1428" spans="1:26" hidden="1" x14ac:dyDescent="0.25">
      <c r="A1428" s="1191" t="s">
        <v>839</v>
      </c>
      <c r="B1428" s="1427" t="str">
        <f>IFERROR(_xlfn.CONCAT("K",('Configurable Tab'!$C$11+1)),"")</f>
        <v>K119</v>
      </c>
      <c r="C1428" s="1427" t="str">
        <f>IFERROR(_xlfn.CONCAT("K",('Configurable Tab'!$C$11+2)),"")</f>
        <v>K120</v>
      </c>
      <c r="D1428" s="1480" t="s">
        <v>1365</v>
      </c>
      <c r="E1428" s="867" t="s">
        <v>1806</v>
      </c>
      <c r="F1428" s="1480"/>
      <c r="G1428" s="1480"/>
      <c r="H1428" s="1480"/>
      <c r="I1428" s="1427" t="str">
        <f t="shared" si="229"/>
        <v>Paid to:</v>
      </c>
      <c r="J1428" s="1480" t="str">
        <f t="shared" si="227"/>
        <v>F</v>
      </c>
      <c r="K1428" s="1480" t="str">
        <f t="shared" si="228"/>
        <v>Incentives</v>
      </c>
      <c r="L1428" s="1480"/>
      <c r="M1428" s="1480"/>
      <c r="N1428" s="1480"/>
      <c r="O1428" s="1477"/>
      <c r="P1428" s="1477"/>
      <c r="Q1428" s="1477"/>
      <c r="R1428" s="1480" t="s">
        <v>396</v>
      </c>
      <c r="S1428" s="1477"/>
      <c r="T1428" s="1480" t="str">
        <f>IF(Q$911="Yes",M915,"")</f>
        <v/>
      </c>
      <c r="U1428" s="1477"/>
      <c r="V1428" s="1477"/>
      <c r="W1428" s="1477"/>
      <c r="X1428" s="1477"/>
      <c r="Y1428" s="1477"/>
      <c r="Z1428" s="1477"/>
    </row>
    <row r="1429" spans="1:26" hidden="1" x14ac:dyDescent="0.25">
      <c r="A1429" s="1191" t="s">
        <v>1398</v>
      </c>
      <c r="B1429" s="1427" t="str">
        <f>IFERROR(_xlfn.CONCAT("M",('Configurable Tab'!$C$11+1)),"")</f>
        <v>M119</v>
      </c>
      <c r="C1429" s="1427" t="str">
        <f>IFERROR(_xlfn.CONCAT("M",('Configurable Tab'!$C$11+2)),"")</f>
        <v>M120</v>
      </c>
      <c r="D1429" s="1480" t="s">
        <v>1365</v>
      </c>
      <c r="E1429" s="867" t="s">
        <v>1806</v>
      </c>
      <c r="F1429" s="1480"/>
      <c r="G1429" s="1480"/>
      <c r="H1429" s="1480"/>
      <c r="I1429" s="1427" t="str">
        <f t="shared" si="229"/>
        <v>AP/AR Vendor Number</v>
      </c>
      <c r="J1429" s="1480" t="str">
        <f t="shared" si="227"/>
        <v>F</v>
      </c>
      <c r="K1429" s="1480" t="str">
        <f t="shared" si="228"/>
        <v>Incentives</v>
      </c>
      <c r="L1429" s="1480"/>
      <c r="M1429" s="1480"/>
      <c r="N1429" s="1480"/>
      <c r="O1429" s="1477"/>
      <c r="P1429" s="1477"/>
      <c r="Q1429" s="1477"/>
      <c r="R1429" s="1480" t="s">
        <v>396</v>
      </c>
      <c r="S1429" s="1477"/>
      <c r="T1429" s="1480" t="str">
        <f>IF(Q$911="Yes",M916,"")</f>
        <v/>
      </c>
      <c r="U1429" s="1477"/>
      <c r="V1429" s="1477"/>
      <c r="W1429" s="1477"/>
      <c r="X1429" s="1477"/>
      <c r="Y1429" s="1477"/>
      <c r="Z1429" s="1477"/>
    </row>
    <row r="1430" spans="1:26" hidden="1" x14ac:dyDescent="0.25">
      <c r="A1430" s="1191" t="s">
        <v>1403</v>
      </c>
      <c r="B1430" s="1427" t="str">
        <f>IFERROR(_xlfn.CONCAT("G",('Configurable Tab'!$C$11+4)),"")</f>
        <v>G122</v>
      </c>
      <c r="C1430" s="1427" t="str">
        <f>IFERROR(_xlfn.CONCAT("G",('Configurable Tab'!$C$11+5)),"")</f>
        <v>G123</v>
      </c>
      <c r="D1430" s="1480" t="s">
        <v>1365</v>
      </c>
      <c r="E1430" s="867" t="s">
        <v>1806</v>
      </c>
      <c r="F1430" s="1480"/>
      <c r="G1430" s="1480"/>
      <c r="H1430" s="1480"/>
      <c r="I1430" s="1427" t="str">
        <f t="shared" si="229"/>
        <v>Minimum Units</v>
      </c>
      <c r="J1430" s="1480" t="str">
        <f t="shared" si="227"/>
        <v>F</v>
      </c>
      <c r="K1430" s="1480" t="str">
        <f t="shared" si="228"/>
        <v>Incentives</v>
      </c>
      <c r="L1430" s="1480"/>
      <c r="M1430" s="1480"/>
      <c r="N1430" s="1480"/>
      <c r="O1430" s="1477"/>
      <c r="P1430" s="1477"/>
      <c r="Q1430" s="1477"/>
      <c r="R1430" s="1480" t="s">
        <v>396</v>
      </c>
      <c r="S1430" s="1477"/>
      <c r="T1430" s="1480" t="str">
        <f>IF(Q$911="Yes",M925,"")</f>
        <v/>
      </c>
      <c r="U1430" s="1477"/>
      <c r="V1430" s="1477"/>
      <c r="W1430" s="1477"/>
      <c r="X1430" s="1477"/>
      <c r="Y1430" s="1477"/>
      <c r="Z1430" s="1477"/>
    </row>
    <row r="1431" spans="1:26" hidden="1" x14ac:dyDescent="0.25">
      <c r="A1431" s="1191" t="s">
        <v>1405</v>
      </c>
      <c r="B1431" s="1427" t="str">
        <f>IFERROR(_xlfn.CONCAT("K",('Configurable Tab'!$C$11+4)),"")</f>
        <v>K122</v>
      </c>
      <c r="C1431" s="1427" t="str">
        <f>IFERROR(_xlfn.CONCAT("K",('Configurable Tab'!$C$11+5)),"")</f>
        <v>K123</v>
      </c>
      <c r="D1431" s="1480" t="s">
        <v>1365</v>
      </c>
      <c r="E1431" s="867" t="s">
        <v>1806</v>
      </c>
      <c r="F1431" s="1480"/>
      <c r="G1431" s="1480"/>
      <c r="H1431" s="1480"/>
      <c r="I1431" s="1427" t="str">
        <f t="shared" si="229"/>
        <v>Rate % of Sales</v>
      </c>
      <c r="J1431" s="1480" t="str">
        <f t="shared" si="227"/>
        <v>F</v>
      </c>
      <c r="K1431" s="1480" t="str">
        <f t="shared" si="228"/>
        <v>Incentives</v>
      </c>
      <c r="L1431" s="1480"/>
      <c r="M1431" s="1480"/>
      <c r="N1431" s="1480"/>
      <c r="O1431" s="1477"/>
      <c r="P1431" s="1477"/>
      <c r="Q1431" s="1477"/>
      <c r="R1431" s="1480" t="s">
        <v>396</v>
      </c>
      <c r="S1431" s="1477"/>
      <c r="T1431" s="1480" t="str">
        <f>IF(Q$911="Yes",M927,"")</f>
        <v/>
      </c>
      <c r="U1431" s="1477"/>
      <c r="V1431" s="1477"/>
      <c r="W1431" s="1477"/>
      <c r="X1431" s="1477"/>
      <c r="Y1431" s="1477"/>
      <c r="Z1431" s="1477"/>
    </row>
    <row r="1432" spans="1:26" hidden="1" x14ac:dyDescent="0.25">
      <c r="A1432" s="1109" t="s">
        <v>526</v>
      </c>
      <c r="B1432" s="1427" t="str">
        <f>IFERROR(_xlfn.CONCAT("D",('Configurable Tab'!$C$12+1)),"")</f>
        <v>D127</v>
      </c>
      <c r="C1432" s="1427" t="str">
        <f>IFERROR(_xlfn.CONCAT("E",('Configurable Tab'!$C$12+1)),"")</f>
        <v>E127</v>
      </c>
      <c r="D1432" s="1480" t="s">
        <v>1365</v>
      </c>
      <c r="E1432" s="867" t="s">
        <v>1806</v>
      </c>
      <c r="F1432" s="1480"/>
      <c r="G1432" s="1480"/>
      <c r="H1432" s="1480"/>
      <c r="I1432" s="1427" t="str">
        <f t="shared" si="229"/>
        <v>Offer this Incentive?</v>
      </c>
      <c r="J1432" s="1480" t="str">
        <f t="shared" si="227"/>
        <v>F</v>
      </c>
      <c r="K1432" s="1480" t="str">
        <f t="shared" si="228"/>
        <v>Incentives</v>
      </c>
      <c r="L1432" s="1480"/>
      <c r="M1432" s="1480"/>
      <c r="N1432" s="1480"/>
      <c r="O1432" s="1477" t="s">
        <v>1821</v>
      </c>
      <c r="P1432" s="1477"/>
      <c r="Q1432" s="1427" t="str">
        <f>IFERROR(_xlfn.CONCAT("C",('Configurable Tab'!$C12+1)),"")</f>
        <v>C127</v>
      </c>
      <c r="R1432" s="1480" t="s">
        <v>396</v>
      </c>
      <c r="S1432" s="1477"/>
      <c r="T1432" s="1480" t="str">
        <f>IF(Q$930="Yes",M930,"")</f>
        <v/>
      </c>
      <c r="U1432" s="1477"/>
      <c r="V1432" s="1477"/>
      <c r="W1432" s="1477"/>
      <c r="X1432" s="1477"/>
      <c r="Y1432" s="1477"/>
      <c r="Z1432" s="1477"/>
    </row>
    <row r="1433" spans="1:26" hidden="1" x14ac:dyDescent="0.25">
      <c r="A1433" s="1189" t="s">
        <v>1399</v>
      </c>
      <c r="B1433" s="1427" t="str">
        <f>IFERROR(_xlfn.CONCAT("D",('Configurable Tab'!$C$12+2)),"")</f>
        <v>D128</v>
      </c>
      <c r="C1433" s="1427" t="str">
        <f>IFERROR(_xlfn.CONCAT("E",('Configurable Tab'!$C$12+2)),"")</f>
        <v>E128</v>
      </c>
      <c r="D1433" s="1480" t="s">
        <v>1365</v>
      </c>
      <c r="E1433" s="867" t="s">
        <v>1806</v>
      </c>
      <c r="F1433" s="1480"/>
      <c r="G1433" s="1480"/>
      <c r="H1433" s="1480"/>
      <c r="I1433" s="1427" t="str">
        <f t="shared" si="229"/>
        <v>Incentive Type</v>
      </c>
      <c r="J1433" s="1480" t="str">
        <f t="shared" si="227"/>
        <v>F</v>
      </c>
      <c r="K1433" s="1480" t="str">
        <f t="shared" si="228"/>
        <v>Incentives</v>
      </c>
      <c r="L1433" s="1480"/>
      <c r="M1433" s="1480"/>
      <c r="N1433" s="1480"/>
      <c r="O1433" s="1477"/>
      <c r="P1433" s="1477"/>
      <c r="Q1433" s="1477"/>
      <c r="R1433" s="1480" t="s">
        <v>396</v>
      </c>
      <c r="S1433" s="1477"/>
      <c r="T1433" s="1480" t="str">
        <f>IF(Q$930="Yes",M931,"")</f>
        <v/>
      </c>
      <c r="U1433" s="1477"/>
      <c r="V1433" s="1477"/>
      <c r="W1433" s="1477"/>
      <c r="X1433" s="1477"/>
      <c r="Y1433" s="1477"/>
      <c r="Z1433" s="1477"/>
    </row>
    <row r="1434" spans="1:26" hidden="1" x14ac:dyDescent="0.25">
      <c r="A1434" s="1189" t="s">
        <v>1401</v>
      </c>
      <c r="B1434" s="1427" t="str">
        <f>IFERROR(_xlfn.CONCAT("D",('Configurable Tab'!$C$12+4)),"")</f>
        <v>D130</v>
      </c>
      <c r="C1434" s="1427" t="str">
        <f>IFERROR(_xlfn.CONCAT("E",('Configurable Tab'!$C$12+4)),"")</f>
        <v>E130</v>
      </c>
      <c r="D1434" s="1480" t="s">
        <v>1365</v>
      </c>
      <c r="E1434" s="867" t="s">
        <v>1806</v>
      </c>
      <c r="F1434" s="1480"/>
      <c r="G1434" s="1480"/>
      <c r="H1434" s="1480"/>
      <c r="I1434" s="1427" t="str">
        <f t="shared" si="229"/>
        <v>Incentive Effective Date</v>
      </c>
      <c r="J1434" s="1480" t="str">
        <f t="shared" si="227"/>
        <v>F</v>
      </c>
      <c r="K1434" s="1480" t="str">
        <f t="shared" si="228"/>
        <v>Incentives</v>
      </c>
      <c r="L1434" s="1480"/>
      <c r="M1434" s="1480"/>
      <c r="N1434" s="1480"/>
      <c r="O1434" s="1477"/>
      <c r="P1434" s="1477"/>
      <c r="Q1434" s="1477"/>
      <c r="R1434" s="1480" t="s">
        <v>396</v>
      </c>
      <c r="S1434" s="1477"/>
      <c r="T1434" s="1480" t="str">
        <f>IF(Q$930="Yes",M939,"")</f>
        <v/>
      </c>
      <c r="U1434" s="1477"/>
      <c r="V1434" s="1477"/>
      <c r="W1434" s="1477"/>
      <c r="X1434" s="1477"/>
      <c r="Y1434" s="1477"/>
      <c r="Z1434" s="1477"/>
    </row>
    <row r="1435" spans="1:26" hidden="1" x14ac:dyDescent="0.25">
      <c r="A1435" s="1189" t="s">
        <v>1402</v>
      </c>
      <c r="B1435" s="1427" t="str">
        <f>IFERROR(_xlfn.CONCAT("D",('Configurable Tab'!$C$12+5)),"")</f>
        <v>D131</v>
      </c>
      <c r="C1435" s="1427" t="str">
        <f>IFERROR(_xlfn.CONCAT("E",('Configurable Tab'!$C$12+5)),"")</f>
        <v>E131</v>
      </c>
      <c r="D1435" s="1480" t="s">
        <v>1365</v>
      </c>
      <c r="E1435" s="867" t="s">
        <v>1806</v>
      </c>
      <c r="F1435" s="1480"/>
      <c r="G1435" s="1480"/>
      <c r="H1435" s="1480"/>
      <c r="I1435" s="1427" t="str">
        <f t="shared" si="229"/>
        <v>Incentive Expiration Date</v>
      </c>
      <c r="J1435" s="1480" t="str">
        <f t="shared" si="227"/>
        <v>F</v>
      </c>
      <c r="K1435" s="1480" t="str">
        <f t="shared" si="228"/>
        <v>Incentives</v>
      </c>
      <c r="L1435" s="1480"/>
      <c r="M1435" s="1480"/>
      <c r="N1435" s="1480"/>
      <c r="O1435" s="1477"/>
      <c r="P1435" s="1477"/>
      <c r="Q1435" s="1477"/>
      <c r="R1435" s="1480" t="s">
        <v>396</v>
      </c>
      <c r="S1435" s="1477"/>
      <c r="T1435" s="1480" t="str">
        <f>IF(Q$930="Yes",M940,"")</f>
        <v/>
      </c>
      <c r="U1435" s="1477"/>
      <c r="V1435" s="1477"/>
      <c r="W1435" s="1477"/>
      <c r="X1435" s="1477"/>
      <c r="Y1435" s="1477"/>
      <c r="Z1435" s="1477"/>
    </row>
    <row r="1436" spans="1:26" hidden="1" x14ac:dyDescent="0.25">
      <c r="A1436" s="1189" t="s">
        <v>1396</v>
      </c>
      <c r="B1436" s="1427" t="str">
        <f>IFERROR(_xlfn.CONCAT("G",('Configurable Tab'!$C$12+1)),"")</f>
        <v>G127</v>
      </c>
      <c r="C1436" s="1427" t="str">
        <f>IFERROR(_xlfn.CONCAT("G",('Configurable Tab'!$C$12+2)),"")</f>
        <v>G128</v>
      </c>
      <c r="D1436" s="1480" t="s">
        <v>1365</v>
      </c>
      <c r="E1436" s="867" t="s">
        <v>1806</v>
      </c>
      <c r="F1436" s="1480"/>
      <c r="G1436" s="1480"/>
      <c r="H1436" s="1480"/>
      <c r="I1436" s="1427" t="str">
        <f t="shared" si="229"/>
        <v>Incentive Period</v>
      </c>
      <c r="J1436" s="1480" t="str">
        <f t="shared" si="227"/>
        <v>F</v>
      </c>
      <c r="K1436" s="1480" t="str">
        <f t="shared" si="228"/>
        <v>Incentives</v>
      </c>
      <c r="L1436" s="1480"/>
      <c r="M1436" s="1480"/>
      <c r="N1436" s="1480"/>
      <c r="O1436" s="1477"/>
      <c r="P1436" s="1477"/>
      <c r="Q1436" s="1477"/>
      <c r="R1436" s="1480" t="s">
        <v>396</v>
      </c>
      <c r="S1436" s="1477"/>
      <c r="T1436" s="1480" t="str">
        <f>IF(Q$930="Yes",M932,"")</f>
        <v/>
      </c>
      <c r="U1436" s="1477"/>
      <c r="V1436" s="1477"/>
      <c r="W1436" s="1477"/>
      <c r="X1436" s="1477"/>
      <c r="Y1436" s="1477"/>
      <c r="Z1436" s="1477"/>
    </row>
    <row r="1437" spans="1:26" hidden="1" x14ac:dyDescent="0.25">
      <c r="A1437" s="1189" t="s">
        <v>1397</v>
      </c>
      <c r="B1437" s="1427" t="str">
        <f>IFERROR(_xlfn.CONCAT("I",('Configurable Tab'!$C$12+1)),"")</f>
        <v>I127</v>
      </c>
      <c r="C1437" s="1427" t="str">
        <f>IFERROR(_xlfn.CONCAT("I",('Configurable Tab'!$C$12+2)),"")</f>
        <v>I128</v>
      </c>
      <c r="D1437" s="1480" t="s">
        <v>1365</v>
      </c>
      <c r="E1437" s="867" t="s">
        <v>1806</v>
      </c>
      <c r="F1437" s="1480"/>
      <c r="G1437" s="1480"/>
      <c r="H1437" s="1480"/>
      <c r="I1437" s="1427" t="str">
        <f t="shared" si="229"/>
        <v>Payment Method</v>
      </c>
      <c r="J1437" s="1480" t="str">
        <f t="shared" si="227"/>
        <v>F</v>
      </c>
      <c r="K1437" s="1480" t="str">
        <f t="shared" si="228"/>
        <v>Incentives</v>
      </c>
      <c r="L1437" s="1480"/>
      <c r="M1437" s="1480"/>
      <c r="N1437" s="1480"/>
      <c r="O1437" s="1477"/>
      <c r="P1437" s="1477"/>
      <c r="Q1437" s="1477"/>
      <c r="R1437" s="1480" t="s">
        <v>396</v>
      </c>
      <c r="S1437" s="1477"/>
      <c r="T1437" s="1480" t="str">
        <f>IF(Q$930="Yes",M933,"")</f>
        <v/>
      </c>
      <c r="U1437" s="1477"/>
      <c r="V1437" s="1477"/>
      <c r="W1437" s="1477"/>
      <c r="X1437" s="1477"/>
      <c r="Y1437" s="1477"/>
      <c r="Z1437" s="1477"/>
    </row>
    <row r="1438" spans="1:26" hidden="1" x14ac:dyDescent="0.25">
      <c r="A1438" s="1189" t="s">
        <v>839</v>
      </c>
      <c r="B1438" s="1427" t="str">
        <f>IFERROR(_xlfn.CONCAT("K",('Configurable Tab'!$C$12+1)),"")</f>
        <v>K127</v>
      </c>
      <c r="C1438" s="1427" t="str">
        <f>IFERROR(_xlfn.CONCAT("K",('Configurable Tab'!$C$12+2)),"")</f>
        <v>K128</v>
      </c>
      <c r="D1438" s="1480" t="s">
        <v>1365</v>
      </c>
      <c r="E1438" s="867" t="s">
        <v>1806</v>
      </c>
      <c r="F1438" s="1480"/>
      <c r="G1438" s="1480"/>
      <c r="H1438" s="1480"/>
      <c r="I1438" s="1427" t="str">
        <f t="shared" si="229"/>
        <v>Paid to:</v>
      </c>
      <c r="J1438" s="1480" t="str">
        <f t="shared" si="227"/>
        <v>F</v>
      </c>
      <c r="K1438" s="1480" t="str">
        <f t="shared" si="228"/>
        <v>Incentives</v>
      </c>
      <c r="L1438" s="1480"/>
      <c r="M1438" s="1480"/>
      <c r="N1438" s="1480"/>
      <c r="O1438" s="1477"/>
      <c r="P1438" s="1477"/>
      <c r="Q1438" s="1477"/>
      <c r="R1438" s="1480" t="s">
        <v>396</v>
      </c>
      <c r="S1438" s="1477"/>
      <c r="T1438" s="1480" t="str">
        <f>IF(Q$930="Yes",M934,"")</f>
        <v/>
      </c>
      <c r="U1438" s="1477"/>
      <c r="V1438" s="1477"/>
      <c r="W1438" s="1477"/>
      <c r="X1438" s="1477"/>
      <c r="Y1438" s="1477"/>
      <c r="Z1438" s="1477"/>
    </row>
    <row r="1439" spans="1:26" hidden="1" x14ac:dyDescent="0.25">
      <c r="A1439" s="1189" t="s">
        <v>1398</v>
      </c>
      <c r="B1439" s="1427" t="str">
        <f>IFERROR(_xlfn.CONCAT("M",('Configurable Tab'!$C$12+1)),"")</f>
        <v>M127</v>
      </c>
      <c r="C1439" s="1427" t="str">
        <f>IFERROR(_xlfn.CONCAT("M",('Configurable Tab'!$C$12+2)),"")</f>
        <v>M128</v>
      </c>
      <c r="D1439" s="1480" t="s">
        <v>1365</v>
      </c>
      <c r="E1439" s="867" t="s">
        <v>1806</v>
      </c>
      <c r="F1439" s="1480"/>
      <c r="G1439" s="1480"/>
      <c r="H1439" s="1480"/>
      <c r="I1439" s="1427" t="str">
        <f t="shared" si="229"/>
        <v>AP/AR Vendor Number</v>
      </c>
      <c r="J1439" s="1480" t="str">
        <f t="shared" si="227"/>
        <v>F</v>
      </c>
      <c r="K1439" s="1480" t="str">
        <f t="shared" si="228"/>
        <v>Incentives</v>
      </c>
      <c r="L1439" s="1480"/>
      <c r="M1439" s="1480"/>
      <c r="N1439" s="1480"/>
      <c r="O1439" s="1477"/>
      <c r="P1439" s="1477"/>
      <c r="Q1439" s="1477"/>
      <c r="R1439" s="1480" t="s">
        <v>396</v>
      </c>
      <c r="S1439" s="1477"/>
      <c r="T1439" s="1480" t="str">
        <f>IF(Q$930="Yes",M935,"")</f>
        <v/>
      </c>
      <c r="U1439" s="1477"/>
      <c r="V1439" s="1477"/>
      <c r="W1439" s="1477"/>
      <c r="X1439" s="1477"/>
      <c r="Y1439" s="1477"/>
      <c r="Z1439" s="1477"/>
    </row>
    <row r="1440" spans="1:26" hidden="1" x14ac:dyDescent="0.25">
      <c r="A1440" s="1189" t="s">
        <v>1403</v>
      </c>
      <c r="B1440" s="1427" t="str">
        <f>IFERROR(_xlfn.CONCAT("G",('Configurable Tab'!$C$12+4)),"")</f>
        <v>G130</v>
      </c>
      <c r="C1440" s="1427" t="str">
        <f>IFERROR(_xlfn.CONCAT("G",('Configurable Tab'!$C$12+5)),"")</f>
        <v>G131</v>
      </c>
      <c r="D1440" s="1480" t="s">
        <v>1365</v>
      </c>
      <c r="E1440" s="867" t="s">
        <v>1806</v>
      </c>
      <c r="F1440" s="1480"/>
      <c r="G1440" s="1480"/>
      <c r="H1440" s="1480"/>
      <c r="I1440" s="1427" t="str">
        <f t="shared" si="229"/>
        <v>Minimum Units</v>
      </c>
      <c r="J1440" s="1480" t="str">
        <f t="shared" si="227"/>
        <v>F</v>
      </c>
      <c r="K1440" s="1480" t="str">
        <f t="shared" si="228"/>
        <v>Incentives</v>
      </c>
      <c r="L1440" s="1480"/>
      <c r="M1440" s="1480"/>
      <c r="N1440" s="1480"/>
      <c r="O1440" s="1477"/>
      <c r="P1440" s="1477"/>
      <c r="Q1440" s="1477"/>
      <c r="R1440" s="1480" t="s">
        <v>396</v>
      </c>
      <c r="S1440" s="1477"/>
      <c r="T1440" s="1480" t="str">
        <f>IF(Q$930="Yes",M944,"")</f>
        <v/>
      </c>
      <c r="U1440" s="1477"/>
      <c r="V1440" s="1477"/>
      <c r="W1440" s="1477"/>
      <c r="X1440" s="1477"/>
      <c r="Y1440" s="1477"/>
      <c r="Z1440" s="1477"/>
    </row>
    <row r="1441" spans="1:26" hidden="1" x14ac:dyDescent="0.25">
      <c r="A1441" s="1189" t="s">
        <v>1405</v>
      </c>
      <c r="B1441" s="1427" t="str">
        <f>IFERROR(_xlfn.CONCAT("K",('Configurable Tab'!$C$12+4)),"")</f>
        <v>K130</v>
      </c>
      <c r="C1441" s="1427" t="str">
        <f>IFERROR(_xlfn.CONCAT("K",('Configurable Tab'!$C$12+5)),"")</f>
        <v>K131</v>
      </c>
      <c r="D1441" s="1480" t="s">
        <v>1365</v>
      </c>
      <c r="E1441" s="867" t="s">
        <v>1806</v>
      </c>
      <c r="F1441" s="1480"/>
      <c r="G1441" s="1480"/>
      <c r="H1441" s="1480"/>
      <c r="I1441" s="1427" t="str">
        <f t="shared" si="229"/>
        <v>Rate % of Sales</v>
      </c>
      <c r="J1441" s="1480" t="str">
        <f t="shared" si="227"/>
        <v>F</v>
      </c>
      <c r="K1441" s="1480" t="str">
        <f t="shared" si="228"/>
        <v>Incentives</v>
      </c>
      <c r="L1441" s="1480"/>
      <c r="M1441" s="1480"/>
      <c r="N1441" s="1480"/>
      <c r="O1441" s="1477"/>
      <c r="P1441" s="1477"/>
      <c r="Q1441" s="1477"/>
      <c r="R1441" s="1480" t="s">
        <v>396</v>
      </c>
      <c r="S1441" s="1477"/>
      <c r="T1441" s="1480" t="str">
        <f>IF(Q$930="Yes",M946,"")</f>
        <v/>
      </c>
      <c r="U1441" s="1477"/>
      <c r="V1441" s="1477"/>
      <c r="W1441" s="1477"/>
      <c r="X1441" s="1477"/>
      <c r="Y1441" s="1477"/>
      <c r="Z1441" s="1477"/>
    </row>
    <row r="1442" spans="1:26" hidden="1" x14ac:dyDescent="0.25">
      <c r="A1442" s="1190" t="s">
        <v>526</v>
      </c>
      <c r="B1442" s="1427" t="str">
        <f>IFERROR(_xlfn.CONCAT("D",('Configurable Tab'!$C$13+1)),"")</f>
        <v>D135</v>
      </c>
      <c r="C1442" s="1427" t="str">
        <f>IFERROR(_xlfn.CONCAT("E",('Configurable Tab'!$C$13+1)),"")</f>
        <v>E135</v>
      </c>
      <c r="D1442" s="1480" t="s">
        <v>1365</v>
      </c>
      <c r="E1442" s="867" t="s">
        <v>1806</v>
      </c>
      <c r="F1442" s="1480"/>
      <c r="G1442" s="1480"/>
      <c r="H1442" s="1480"/>
      <c r="I1442" s="1427" t="str">
        <f t="shared" si="229"/>
        <v>Offer this Incentive?</v>
      </c>
      <c r="J1442" s="1480" t="str">
        <f t="shared" si="227"/>
        <v>F</v>
      </c>
      <c r="K1442" s="1480" t="str">
        <f t="shared" si="228"/>
        <v>Incentives</v>
      </c>
      <c r="L1442" s="1480"/>
      <c r="M1442" s="1480"/>
      <c r="N1442" s="1480"/>
      <c r="O1442" s="1477" t="s">
        <v>1822</v>
      </c>
      <c r="P1442" s="1477"/>
      <c r="Q1442" s="1427" t="str">
        <f>IFERROR(_xlfn.CONCAT("C",('Configurable Tab'!$C13+1)),"")</f>
        <v>C135</v>
      </c>
      <c r="R1442" s="1480" t="s">
        <v>396</v>
      </c>
      <c r="S1442" s="1477"/>
      <c r="T1442" s="1480" t="str">
        <f>IF(Q$949="Yes",M949,"")</f>
        <v/>
      </c>
      <c r="U1442" s="1477"/>
      <c r="V1442" s="1477"/>
      <c r="W1442" s="1477"/>
      <c r="X1442" s="1477"/>
      <c r="Y1442" s="1477"/>
      <c r="Z1442" s="1477"/>
    </row>
    <row r="1443" spans="1:26" hidden="1" x14ac:dyDescent="0.25">
      <c r="A1443" s="1191" t="s">
        <v>1399</v>
      </c>
      <c r="B1443" s="1427" t="str">
        <f>IFERROR(_xlfn.CONCAT("D",('Configurable Tab'!$C$13+2)),"")</f>
        <v>D136</v>
      </c>
      <c r="C1443" s="1427" t="str">
        <f>IFERROR(_xlfn.CONCAT("E",('Configurable Tab'!$C$13+2)),"")</f>
        <v>E136</v>
      </c>
      <c r="D1443" s="1480" t="s">
        <v>1365</v>
      </c>
      <c r="E1443" s="867" t="s">
        <v>1806</v>
      </c>
      <c r="F1443" s="1480"/>
      <c r="G1443" s="1480"/>
      <c r="H1443" s="1480"/>
      <c r="I1443" s="1427" t="str">
        <f t="shared" si="229"/>
        <v>Incentive Type</v>
      </c>
      <c r="J1443" s="1480" t="str">
        <f t="shared" si="227"/>
        <v>F</v>
      </c>
      <c r="K1443" s="1480" t="str">
        <f t="shared" si="228"/>
        <v>Incentives</v>
      </c>
      <c r="L1443" s="1480"/>
      <c r="M1443" s="1480"/>
      <c r="N1443" s="1480"/>
      <c r="O1443" s="1477"/>
      <c r="P1443" s="1477"/>
      <c r="Q1443" s="1477"/>
      <c r="R1443" s="1480" t="s">
        <v>396</v>
      </c>
      <c r="S1443" s="1477"/>
      <c r="T1443" s="1480" t="str">
        <f>IF(Q$949="Yes",M950,"")</f>
        <v/>
      </c>
      <c r="U1443" s="1477"/>
      <c r="V1443" s="1477"/>
      <c r="W1443" s="1477"/>
      <c r="X1443" s="1477"/>
      <c r="Y1443" s="1477"/>
      <c r="Z1443" s="1477"/>
    </row>
    <row r="1444" spans="1:26" hidden="1" x14ac:dyDescent="0.25">
      <c r="A1444" s="1191" t="s">
        <v>1401</v>
      </c>
      <c r="B1444" s="1427" t="str">
        <f>IFERROR(_xlfn.CONCAT("D",('Configurable Tab'!$C$13+4)),"")</f>
        <v>D138</v>
      </c>
      <c r="C1444" s="1427" t="str">
        <f>IFERROR(_xlfn.CONCAT("E",('Configurable Tab'!$C$13+4)),"")</f>
        <v>E138</v>
      </c>
      <c r="D1444" s="1480" t="s">
        <v>1365</v>
      </c>
      <c r="E1444" s="867" t="s">
        <v>1806</v>
      </c>
      <c r="F1444" s="1480"/>
      <c r="G1444" s="1480"/>
      <c r="H1444" s="1480"/>
      <c r="I1444" s="1427" t="str">
        <f t="shared" si="229"/>
        <v>Incentive Effective Date</v>
      </c>
      <c r="J1444" s="1480" t="str">
        <f t="shared" si="227"/>
        <v>F</v>
      </c>
      <c r="K1444" s="1480" t="str">
        <f t="shared" si="228"/>
        <v>Incentives</v>
      </c>
      <c r="L1444" s="1480"/>
      <c r="M1444" s="1480"/>
      <c r="N1444" s="1480"/>
      <c r="O1444" s="1477"/>
      <c r="P1444" s="1477"/>
      <c r="Q1444" s="1477"/>
      <c r="R1444" s="1480" t="s">
        <v>396</v>
      </c>
      <c r="S1444" s="1477"/>
      <c r="T1444" s="1480" t="str">
        <f>IF(Q$949="Yes",M958,"")</f>
        <v/>
      </c>
      <c r="U1444" s="1477"/>
      <c r="V1444" s="1477"/>
      <c r="W1444" s="1477"/>
      <c r="X1444" s="1477"/>
      <c r="Y1444" s="1477"/>
      <c r="Z1444" s="1477"/>
    </row>
    <row r="1445" spans="1:26" hidden="1" x14ac:dyDescent="0.25">
      <c r="A1445" s="1191" t="s">
        <v>1402</v>
      </c>
      <c r="B1445" s="1427" t="str">
        <f>IFERROR(_xlfn.CONCAT("D",('Configurable Tab'!$C$13+5)),"")</f>
        <v>D139</v>
      </c>
      <c r="C1445" s="1427" t="str">
        <f>IFERROR(_xlfn.CONCAT("E",('Configurable Tab'!$C$13+5)),"")</f>
        <v>E139</v>
      </c>
      <c r="D1445" s="1480" t="s">
        <v>1365</v>
      </c>
      <c r="E1445" s="867" t="s">
        <v>1806</v>
      </c>
      <c r="F1445" s="1480"/>
      <c r="G1445" s="1480"/>
      <c r="H1445" s="1480"/>
      <c r="I1445" s="1427" t="str">
        <f t="shared" si="229"/>
        <v>Incentive Expiration Date</v>
      </c>
      <c r="J1445" s="1480" t="str">
        <f t="shared" si="227"/>
        <v>F</v>
      </c>
      <c r="K1445" s="1480" t="str">
        <f t="shared" si="228"/>
        <v>Incentives</v>
      </c>
      <c r="L1445" s="1480"/>
      <c r="M1445" s="1480"/>
      <c r="N1445" s="1480"/>
      <c r="O1445" s="1477"/>
      <c r="P1445" s="1477"/>
      <c r="Q1445" s="1477"/>
      <c r="R1445" s="1480" t="s">
        <v>396</v>
      </c>
      <c r="S1445" s="1477"/>
      <c r="T1445" s="1480" t="str">
        <f>IF(Q$949="Yes",M959,"")</f>
        <v/>
      </c>
      <c r="U1445" s="1477"/>
      <c r="V1445" s="1477"/>
      <c r="W1445" s="1477"/>
      <c r="X1445" s="1477"/>
      <c r="Y1445" s="1477"/>
      <c r="Z1445" s="1477"/>
    </row>
    <row r="1446" spans="1:26" hidden="1" x14ac:dyDescent="0.25">
      <c r="A1446" s="1191" t="s">
        <v>1396</v>
      </c>
      <c r="B1446" s="1427" t="str">
        <f>IFERROR(_xlfn.CONCAT("G",('Configurable Tab'!$C$13+1)),"")</f>
        <v>G135</v>
      </c>
      <c r="C1446" s="1427" t="str">
        <f>IFERROR(_xlfn.CONCAT("G",('Configurable Tab'!$C$13+2)),"")</f>
        <v>G136</v>
      </c>
      <c r="D1446" s="1480" t="s">
        <v>1365</v>
      </c>
      <c r="E1446" s="867" t="s">
        <v>1806</v>
      </c>
      <c r="F1446" s="1480"/>
      <c r="G1446" s="1480"/>
      <c r="H1446" s="1480"/>
      <c r="I1446" s="1427" t="str">
        <f t="shared" si="229"/>
        <v>Incentive Period</v>
      </c>
      <c r="J1446" s="1480" t="str">
        <f t="shared" si="227"/>
        <v>F</v>
      </c>
      <c r="K1446" s="1480" t="str">
        <f t="shared" si="228"/>
        <v>Incentives</v>
      </c>
      <c r="L1446" s="1480"/>
      <c r="M1446" s="1480"/>
      <c r="N1446" s="1480"/>
      <c r="O1446" s="1477"/>
      <c r="P1446" s="1477"/>
      <c r="Q1446" s="1477"/>
      <c r="R1446" s="1480" t="s">
        <v>396</v>
      </c>
      <c r="S1446" s="1477"/>
      <c r="T1446" s="1480" t="str">
        <f>IF(Q$949="Yes",M951,"")</f>
        <v/>
      </c>
      <c r="U1446" s="1477"/>
      <c r="V1446" s="1477"/>
      <c r="W1446" s="1477"/>
      <c r="X1446" s="1477"/>
      <c r="Y1446" s="1477"/>
      <c r="Z1446" s="1477"/>
    </row>
    <row r="1447" spans="1:26" hidden="1" x14ac:dyDescent="0.25">
      <c r="A1447" s="1191" t="s">
        <v>1397</v>
      </c>
      <c r="B1447" s="1427" t="str">
        <f>IFERROR(_xlfn.CONCAT("I",('Configurable Tab'!$C$13+1)),"")</f>
        <v>I135</v>
      </c>
      <c r="C1447" s="1427" t="str">
        <f>IFERROR(_xlfn.CONCAT("I",('Configurable Tab'!$C$13+2)),"")</f>
        <v>I136</v>
      </c>
      <c r="D1447" s="1480" t="s">
        <v>1365</v>
      </c>
      <c r="E1447" s="867" t="s">
        <v>1806</v>
      </c>
      <c r="F1447" s="1480"/>
      <c r="G1447" s="1480"/>
      <c r="H1447" s="1480"/>
      <c r="I1447" s="1427" t="str">
        <f t="shared" si="229"/>
        <v>Payment Method</v>
      </c>
      <c r="J1447" s="1480" t="str">
        <f t="shared" si="227"/>
        <v>F</v>
      </c>
      <c r="K1447" s="1480" t="str">
        <f t="shared" si="228"/>
        <v>Incentives</v>
      </c>
      <c r="L1447" s="1480"/>
      <c r="M1447" s="1480"/>
      <c r="N1447" s="1480"/>
      <c r="O1447" s="1477"/>
      <c r="P1447" s="1477"/>
      <c r="Q1447" s="1477"/>
      <c r="R1447" s="1480" t="s">
        <v>396</v>
      </c>
      <c r="S1447" s="1477"/>
      <c r="T1447" s="1480" t="str">
        <f>IF(Q$949="Yes",M952,"")</f>
        <v/>
      </c>
      <c r="U1447" s="1477"/>
      <c r="V1447" s="1477"/>
      <c r="W1447" s="1477"/>
      <c r="X1447" s="1477"/>
      <c r="Y1447" s="1477"/>
      <c r="Z1447" s="1477"/>
    </row>
    <row r="1448" spans="1:26" hidden="1" x14ac:dyDescent="0.25">
      <c r="A1448" s="1191" t="s">
        <v>839</v>
      </c>
      <c r="B1448" s="1427" t="str">
        <f>IFERROR(_xlfn.CONCAT("K",('Configurable Tab'!$C$13+1)),"")</f>
        <v>K135</v>
      </c>
      <c r="C1448" s="1427" t="str">
        <f>IFERROR(_xlfn.CONCAT("K",('Configurable Tab'!$C$13+2)),"")</f>
        <v>K136</v>
      </c>
      <c r="D1448" s="1480" t="s">
        <v>1365</v>
      </c>
      <c r="E1448" s="867" t="s">
        <v>1806</v>
      </c>
      <c r="F1448" s="1480"/>
      <c r="G1448" s="1480"/>
      <c r="H1448" s="1480"/>
      <c r="I1448" s="1427" t="str">
        <f t="shared" si="229"/>
        <v>Paid to:</v>
      </c>
      <c r="J1448" s="1480" t="str">
        <f t="shared" si="227"/>
        <v>F</v>
      </c>
      <c r="K1448" s="1480" t="str">
        <f t="shared" si="228"/>
        <v>Incentives</v>
      </c>
      <c r="L1448" s="1480"/>
      <c r="M1448" s="1480"/>
      <c r="N1448" s="1480"/>
      <c r="O1448" s="1477"/>
      <c r="P1448" s="1477"/>
      <c r="Q1448" s="1477"/>
      <c r="R1448" s="1480" t="s">
        <v>396</v>
      </c>
      <c r="S1448" s="1477"/>
      <c r="T1448" s="1480" t="str">
        <f>IF(Q$949="Yes",M953,"")</f>
        <v/>
      </c>
      <c r="U1448" s="1477"/>
      <c r="V1448" s="1477"/>
      <c r="W1448" s="1477"/>
      <c r="X1448" s="1477"/>
      <c r="Y1448" s="1477"/>
      <c r="Z1448" s="1477"/>
    </row>
    <row r="1449" spans="1:26" hidden="1" x14ac:dyDescent="0.25">
      <c r="A1449" s="1191" t="s">
        <v>1398</v>
      </c>
      <c r="B1449" s="1427" t="str">
        <f>IFERROR(_xlfn.CONCAT("M",('Configurable Tab'!$C$13+1)),"")</f>
        <v>M135</v>
      </c>
      <c r="C1449" s="1427" t="str">
        <f>IFERROR(_xlfn.CONCAT("M",('Configurable Tab'!$C$13+2)),"")</f>
        <v>M136</v>
      </c>
      <c r="D1449" s="1480" t="s">
        <v>1365</v>
      </c>
      <c r="E1449" s="867" t="s">
        <v>1806</v>
      </c>
      <c r="F1449" s="1480"/>
      <c r="G1449" s="1480"/>
      <c r="H1449" s="1480"/>
      <c r="I1449" s="1427" t="str">
        <f t="shared" si="229"/>
        <v>AP/AR Vendor Number</v>
      </c>
      <c r="J1449" s="1480" t="str">
        <f t="shared" si="227"/>
        <v>F</v>
      </c>
      <c r="K1449" s="1480" t="str">
        <f t="shared" si="228"/>
        <v>Incentives</v>
      </c>
      <c r="L1449" s="1480"/>
      <c r="M1449" s="1480"/>
      <c r="N1449" s="1480"/>
      <c r="O1449" s="1477"/>
      <c r="P1449" s="1477"/>
      <c r="Q1449" s="1477"/>
      <c r="R1449" s="1480" t="s">
        <v>396</v>
      </c>
      <c r="S1449" s="1477"/>
      <c r="T1449" s="1480" t="str">
        <f>IF(Q$949="Yes",M954,"")</f>
        <v/>
      </c>
      <c r="U1449" s="1477"/>
      <c r="V1449" s="1477"/>
      <c r="W1449" s="1477"/>
      <c r="X1449" s="1477"/>
      <c r="Y1449" s="1477"/>
      <c r="Z1449" s="1477"/>
    </row>
    <row r="1450" spans="1:26" hidden="1" x14ac:dyDescent="0.25">
      <c r="A1450" s="1191" t="s">
        <v>1403</v>
      </c>
      <c r="B1450" s="1427" t="str">
        <f>IFERROR(_xlfn.CONCAT("G",('Configurable Tab'!$C$13+4)),"")</f>
        <v>G138</v>
      </c>
      <c r="C1450" s="1427" t="str">
        <f>IFERROR(_xlfn.CONCAT("G",('Configurable Tab'!$C$13+5)),"")</f>
        <v>G139</v>
      </c>
      <c r="D1450" s="1480" t="s">
        <v>1365</v>
      </c>
      <c r="E1450" s="867" t="s">
        <v>1806</v>
      </c>
      <c r="F1450" s="1480"/>
      <c r="G1450" s="1480"/>
      <c r="H1450" s="1480"/>
      <c r="I1450" s="1427" t="str">
        <f t="shared" si="229"/>
        <v>Minimum Units</v>
      </c>
      <c r="J1450" s="1480" t="str">
        <f t="shared" si="227"/>
        <v>F</v>
      </c>
      <c r="K1450" s="1480" t="str">
        <f t="shared" si="228"/>
        <v>Incentives</v>
      </c>
      <c r="L1450" s="1480"/>
      <c r="M1450" s="1480"/>
      <c r="N1450" s="1480"/>
      <c r="O1450" s="1477"/>
      <c r="P1450" s="1477"/>
      <c r="Q1450" s="1477"/>
      <c r="R1450" s="1480" t="s">
        <v>396</v>
      </c>
      <c r="S1450" s="1477"/>
      <c r="T1450" s="1480" t="str">
        <f>IF(Q$949="Yes",M963,"")</f>
        <v/>
      </c>
      <c r="U1450" s="1477"/>
      <c r="V1450" s="1477"/>
      <c r="W1450" s="1477"/>
      <c r="X1450" s="1477"/>
      <c r="Y1450" s="1477"/>
      <c r="Z1450" s="1477"/>
    </row>
    <row r="1451" spans="1:26" hidden="1" x14ac:dyDescent="0.25">
      <c r="A1451" s="1191" t="s">
        <v>1405</v>
      </c>
      <c r="B1451" s="1427" t="str">
        <f>IFERROR(_xlfn.CONCAT("K",('Configurable Tab'!$C$13+4)),"")</f>
        <v>K138</v>
      </c>
      <c r="C1451" s="1427" t="str">
        <f>IFERROR(_xlfn.CONCAT("K",('Configurable Tab'!$C$13+5)),"")</f>
        <v>K139</v>
      </c>
      <c r="D1451" s="1480" t="s">
        <v>1365</v>
      </c>
      <c r="E1451" s="867" t="s">
        <v>1806</v>
      </c>
      <c r="F1451" s="1480"/>
      <c r="G1451" s="1480"/>
      <c r="H1451" s="1480"/>
      <c r="I1451" s="1427" t="str">
        <f t="shared" si="229"/>
        <v>Rate % of Sales</v>
      </c>
      <c r="J1451" s="1480" t="str">
        <f t="shared" si="227"/>
        <v>F</v>
      </c>
      <c r="K1451" s="1480" t="str">
        <f t="shared" si="228"/>
        <v>Incentives</v>
      </c>
      <c r="L1451" s="1480"/>
      <c r="M1451" s="1480"/>
      <c r="N1451" s="1480"/>
      <c r="O1451" s="1477"/>
      <c r="P1451" s="1477"/>
      <c r="Q1451" s="1477"/>
      <c r="R1451" s="1480" t="s">
        <v>396</v>
      </c>
      <c r="S1451" s="1477"/>
      <c r="T1451" s="1480" t="str">
        <f>IF(Q$949="Yes",M965,"")</f>
        <v/>
      </c>
      <c r="U1451" s="1477"/>
      <c r="V1451" s="1477"/>
      <c r="W1451" s="1477"/>
      <c r="X1451" s="1477"/>
      <c r="Y1451" s="1477"/>
      <c r="Z1451" s="1477"/>
    </row>
    <row r="1452" spans="1:26" hidden="1" x14ac:dyDescent="0.25">
      <c r="A1452" s="1109" t="s">
        <v>526</v>
      </c>
      <c r="B1452" s="1427" t="str">
        <f>IFERROR(_xlfn.CONCAT("D",('Configurable Tab'!$C$14+1)),"")</f>
        <v>D143</v>
      </c>
      <c r="C1452" s="1427" t="str">
        <f>IFERROR(_xlfn.CONCAT("E",('Configurable Tab'!$C$14+1)),"")</f>
        <v>E143</v>
      </c>
      <c r="D1452" s="1480" t="s">
        <v>1365</v>
      </c>
      <c r="E1452" s="867" t="s">
        <v>1806</v>
      </c>
      <c r="F1452" s="1480"/>
      <c r="G1452" s="1480"/>
      <c r="H1452" s="1480"/>
      <c r="I1452" s="1427" t="str">
        <f t="shared" si="229"/>
        <v>Offer this Incentive?</v>
      </c>
      <c r="J1452" s="1480" t="str">
        <f t="shared" si="227"/>
        <v>F</v>
      </c>
      <c r="K1452" s="1480" t="str">
        <f t="shared" si="228"/>
        <v>Incentives</v>
      </c>
      <c r="L1452" s="1480"/>
      <c r="M1452" s="1480"/>
      <c r="N1452" s="1480"/>
      <c r="O1452" s="1477" t="s">
        <v>1823</v>
      </c>
      <c r="P1452" s="1477"/>
      <c r="Q1452" s="1427" t="str">
        <f>IFERROR(_xlfn.CONCAT("C",('Configurable Tab'!$C14+1)),"")</f>
        <v>C143</v>
      </c>
      <c r="R1452" s="1480" t="s">
        <v>396</v>
      </c>
      <c r="S1452" s="1477"/>
      <c r="T1452" s="1480" t="str">
        <f>IF(Q$968="Yes",M968,"")</f>
        <v/>
      </c>
      <c r="U1452" s="1477"/>
      <c r="V1452" s="1477"/>
      <c r="W1452" s="1477"/>
      <c r="X1452" s="1477"/>
      <c r="Y1452" s="1477"/>
      <c r="Z1452" s="1477"/>
    </row>
    <row r="1453" spans="1:26" hidden="1" x14ac:dyDescent="0.25">
      <c r="A1453" s="1189" t="s">
        <v>1399</v>
      </c>
      <c r="B1453" s="1427" t="str">
        <f>IFERROR(_xlfn.CONCAT("D",('Configurable Tab'!$C$14+2)),"")</f>
        <v>D144</v>
      </c>
      <c r="C1453" s="1427" t="str">
        <f>IFERROR(_xlfn.CONCAT("E",('Configurable Tab'!$C$14+2)),"")</f>
        <v>E144</v>
      </c>
      <c r="D1453" s="1480" t="s">
        <v>1365</v>
      </c>
      <c r="E1453" s="867" t="s">
        <v>1806</v>
      </c>
      <c r="F1453" s="1480"/>
      <c r="G1453" s="1480"/>
      <c r="H1453" s="1480"/>
      <c r="I1453" s="1427" t="str">
        <f t="shared" si="229"/>
        <v>Incentive Type</v>
      </c>
      <c r="J1453" s="1480" t="str">
        <f t="shared" si="227"/>
        <v>F</v>
      </c>
      <c r="K1453" s="1480" t="str">
        <f t="shared" si="228"/>
        <v>Incentives</v>
      </c>
      <c r="L1453" s="1480"/>
      <c r="M1453" s="1480"/>
      <c r="N1453" s="1480"/>
      <c r="O1453" s="1477"/>
      <c r="P1453" s="1477"/>
      <c r="Q1453" s="1477"/>
      <c r="R1453" s="1480" t="s">
        <v>396</v>
      </c>
      <c r="S1453" s="1477"/>
      <c r="T1453" s="1480" t="str">
        <f>IF(Q$968="Yes",M969,"")</f>
        <v/>
      </c>
      <c r="U1453" s="1477"/>
      <c r="V1453" s="1477"/>
      <c r="W1453" s="1477"/>
      <c r="X1453" s="1477"/>
      <c r="Y1453" s="1477"/>
      <c r="Z1453" s="1477"/>
    </row>
    <row r="1454" spans="1:26" hidden="1" x14ac:dyDescent="0.25">
      <c r="A1454" s="1189" t="s">
        <v>1401</v>
      </c>
      <c r="B1454" s="1427" t="str">
        <f>IFERROR(_xlfn.CONCAT("D",('Configurable Tab'!$C$14+4)),"")</f>
        <v>D146</v>
      </c>
      <c r="C1454" s="1427" t="str">
        <f>IFERROR(_xlfn.CONCAT("E",('Configurable Tab'!$C$14+4)),"")</f>
        <v>E146</v>
      </c>
      <c r="D1454" s="1480" t="s">
        <v>1365</v>
      </c>
      <c r="E1454" s="867" t="s">
        <v>1806</v>
      </c>
      <c r="F1454" s="1480"/>
      <c r="G1454" s="1480"/>
      <c r="H1454" s="1480"/>
      <c r="I1454" s="1427" t="str">
        <f t="shared" si="229"/>
        <v>Incentive Effective Date</v>
      </c>
      <c r="J1454" s="1480" t="str">
        <f t="shared" si="227"/>
        <v>F</v>
      </c>
      <c r="K1454" s="1480" t="str">
        <f t="shared" si="228"/>
        <v>Incentives</v>
      </c>
      <c r="L1454" s="1480"/>
      <c r="M1454" s="1480"/>
      <c r="N1454" s="1480"/>
      <c r="O1454" s="1477"/>
      <c r="P1454" s="1477"/>
      <c r="Q1454" s="1477"/>
      <c r="R1454" s="1480" t="s">
        <v>396</v>
      </c>
      <c r="S1454" s="1477"/>
      <c r="T1454" s="1480" t="str">
        <f>IF(Q$968="Yes",M977,"")</f>
        <v/>
      </c>
      <c r="U1454" s="1477"/>
      <c r="V1454" s="1477"/>
      <c r="W1454" s="1477"/>
      <c r="X1454" s="1477"/>
      <c r="Y1454" s="1477"/>
      <c r="Z1454" s="1477"/>
    </row>
    <row r="1455" spans="1:26" hidden="1" x14ac:dyDescent="0.25">
      <c r="A1455" s="1189" t="s">
        <v>1402</v>
      </c>
      <c r="B1455" s="1427" t="str">
        <f>IFERROR(_xlfn.CONCAT("D",('Configurable Tab'!$C$14+5)),"")</f>
        <v>D147</v>
      </c>
      <c r="C1455" s="1427" t="str">
        <f>IFERROR(_xlfn.CONCAT("E",('Configurable Tab'!$C$14+5)),"")</f>
        <v>E147</v>
      </c>
      <c r="D1455" s="1480" t="s">
        <v>1365</v>
      </c>
      <c r="E1455" s="867" t="s">
        <v>1806</v>
      </c>
      <c r="F1455" s="1480"/>
      <c r="G1455" s="1480"/>
      <c r="H1455" s="1480"/>
      <c r="I1455" s="1427" t="str">
        <f t="shared" si="229"/>
        <v>Incentive Expiration Date</v>
      </c>
      <c r="J1455" s="1480" t="str">
        <f t="shared" si="227"/>
        <v>F</v>
      </c>
      <c r="K1455" s="1480" t="str">
        <f t="shared" si="228"/>
        <v>Incentives</v>
      </c>
      <c r="L1455" s="1480"/>
      <c r="M1455" s="1480"/>
      <c r="N1455" s="1480"/>
      <c r="O1455" s="1477"/>
      <c r="P1455" s="1477"/>
      <c r="Q1455" s="1477"/>
      <c r="R1455" s="1480" t="s">
        <v>396</v>
      </c>
      <c r="S1455" s="1477"/>
      <c r="T1455" s="1480" t="str">
        <f>IF(Q$968="Yes",M978,"")</f>
        <v/>
      </c>
      <c r="U1455" s="1477"/>
      <c r="V1455" s="1477"/>
      <c r="W1455" s="1477"/>
      <c r="X1455" s="1477"/>
      <c r="Y1455" s="1477"/>
      <c r="Z1455" s="1477"/>
    </row>
    <row r="1456" spans="1:26" hidden="1" x14ac:dyDescent="0.25">
      <c r="A1456" s="1189" t="s">
        <v>1396</v>
      </c>
      <c r="B1456" s="1427" t="str">
        <f>IFERROR(_xlfn.CONCAT("G",('Configurable Tab'!$C$14+1)),"")</f>
        <v>G143</v>
      </c>
      <c r="C1456" s="1427" t="str">
        <f>IFERROR(_xlfn.CONCAT("G",('Configurable Tab'!$C$14+2)),"")</f>
        <v>G144</v>
      </c>
      <c r="D1456" s="1480" t="s">
        <v>1365</v>
      </c>
      <c r="E1456" s="867" t="s">
        <v>1806</v>
      </c>
      <c r="F1456" s="1480"/>
      <c r="G1456" s="1480"/>
      <c r="H1456" s="1480"/>
      <c r="I1456" s="1427" t="str">
        <f t="shared" si="229"/>
        <v>Incentive Period</v>
      </c>
      <c r="J1456" s="1480" t="str">
        <f t="shared" si="227"/>
        <v>F</v>
      </c>
      <c r="K1456" s="1480" t="str">
        <f t="shared" si="228"/>
        <v>Incentives</v>
      </c>
      <c r="L1456" s="1480"/>
      <c r="M1456" s="1480"/>
      <c r="N1456" s="1480"/>
      <c r="O1456" s="1477"/>
      <c r="P1456" s="1477"/>
      <c r="Q1456" s="1477"/>
      <c r="R1456" s="1480" t="s">
        <v>396</v>
      </c>
      <c r="S1456" s="1477"/>
      <c r="T1456" s="1480" t="str">
        <f>IF(Q$968="Yes",M970,"")</f>
        <v/>
      </c>
      <c r="U1456" s="1477"/>
      <c r="V1456" s="1477"/>
      <c r="W1456" s="1477"/>
      <c r="X1456" s="1477"/>
      <c r="Y1456" s="1477"/>
      <c r="Z1456" s="1477"/>
    </row>
    <row r="1457" spans="1:26" hidden="1" x14ac:dyDescent="0.25">
      <c r="A1457" s="1189" t="s">
        <v>1397</v>
      </c>
      <c r="B1457" s="1427" t="str">
        <f>IFERROR(_xlfn.CONCAT("I",('Configurable Tab'!$C$14+1)),"")</f>
        <v>I143</v>
      </c>
      <c r="C1457" s="1427" t="str">
        <f>IFERROR(_xlfn.CONCAT("I",('Configurable Tab'!$C$14+2)),"")</f>
        <v>I144</v>
      </c>
      <c r="D1457" s="1480" t="s">
        <v>1365</v>
      </c>
      <c r="E1457" s="867" t="s">
        <v>1806</v>
      </c>
      <c r="F1457" s="1480"/>
      <c r="G1457" s="1480"/>
      <c r="H1457" s="1480"/>
      <c r="I1457" s="1427" t="str">
        <f t="shared" si="229"/>
        <v>Payment Method</v>
      </c>
      <c r="J1457" s="1480" t="str">
        <f t="shared" si="227"/>
        <v>F</v>
      </c>
      <c r="K1457" s="1480" t="str">
        <f t="shared" si="228"/>
        <v>Incentives</v>
      </c>
      <c r="L1457" s="1480"/>
      <c r="M1457" s="1480"/>
      <c r="N1457" s="1480"/>
      <c r="O1457" s="1477"/>
      <c r="P1457" s="1477"/>
      <c r="Q1457" s="1477"/>
      <c r="R1457" s="1480" t="s">
        <v>396</v>
      </c>
      <c r="S1457" s="1477"/>
      <c r="T1457" s="1480" t="str">
        <f>IF(Q$968="Yes",M971,"")</f>
        <v/>
      </c>
      <c r="U1457" s="1477"/>
      <c r="V1457" s="1477"/>
      <c r="W1457" s="1477"/>
      <c r="X1457" s="1477"/>
      <c r="Y1457" s="1477"/>
      <c r="Z1457" s="1477"/>
    </row>
    <row r="1458" spans="1:26" hidden="1" x14ac:dyDescent="0.25">
      <c r="A1458" s="1189" t="s">
        <v>839</v>
      </c>
      <c r="B1458" s="1427" t="str">
        <f>IFERROR(_xlfn.CONCAT("K",('Configurable Tab'!$C$14+1)),"")</f>
        <v>K143</v>
      </c>
      <c r="C1458" s="1427" t="str">
        <f>IFERROR(_xlfn.CONCAT("K",('Configurable Tab'!$C$14+2)),"")</f>
        <v>K144</v>
      </c>
      <c r="D1458" s="1480" t="s">
        <v>1365</v>
      </c>
      <c r="E1458" s="867" t="s">
        <v>1806</v>
      </c>
      <c r="F1458" s="1480"/>
      <c r="G1458" s="1480"/>
      <c r="H1458" s="1480"/>
      <c r="I1458" s="1427" t="str">
        <f t="shared" si="229"/>
        <v>Paid to:</v>
      </c>
      <c r="J1458" s="1480" t="str">
        <f t="shared" si="227"/>
        <v>F</v>
      </c>
      <c r="K1458" s="1480" t="str">
        <f t="shared" si="228"/>
        <v>Incentives</v>
      </c>
      <c r="L1458" s="1480"/>
      <c r="M1458" s="1480"/>
      <c r="N1458" s="1480"/>
      <c r="O1458" s="1477"/>
      <c r="P1458" s="1477"/>
      <c r="Q1458" s="1477"/>
      <c r="R1458" s="1480" t="s">
        <v>396</v>
      </c>
      <c r="S1458" s="1477"/>
      <c r="T1458" s="1480" t="str">
        <f>IF(Q$968="Yes",M972,"")</f>
        <v/>
      </c>
      <c r="U1458" s="1477"/>
      <c r="V1458" s="1477"/>
      <c r="W1458" s="1477"/>
      <c r="X1458" s="1477"/>
      <c r="Y1458" s="1477"/>
      <c r="Z1458" s="1477"/>
    </row>
    <row r="1459" spans="1:26" hidden="1" x14ac:dyDescent="0.25">
      <c r="A1459" s="1189" t="s">
        <v>1398</v>
      </c>
      <c r="B1459" s="1427" t="str">
        <f>IFERROR(_xlfn.CONCAT("M",('Configurable Tab'!$C$14+1)),"")</f>
        <v>M143</v>
      </c>
      <c r="C1459" s="1427" t="str">
        <f>IFERROR(_xlfn.CONCAT("M",('Configurable Tab'!$C$14+2)),"")</f>
        <v>M144</v>
      </c>
      <c r="D1459" s="1480" t="s">
        <v>1365</v>
      </c>
      <c r="E1459" s="867" t="s">
        <v>1806</v>
      </c>
      <c r="F1459" s="1480"/>
      <c r="G1459" s="1480"/>
      <c r="H1459" s="1480"/>
      <c r="I1459" s="1427" t="str">
        <f t="shared" si="229"/>
        <v>AP/AR Vendor Number</v>
      </c>
      <c r="J1459" s="1480" t="str">
        <f t="shared" si="227"/>
        <v>F</v>
      </c>
      <c r="K1459" s="1480" t="str">
        <f t="shared" si="228"/>
        <v>Incentives</v>
      </c>
      <c r="L1459" s="1480"/>
      <c r="M1459" s="1480"/>
      <c r="N1459" s="1480"/>
      <c r="O1459" s="1477"/>
      <c r="P1459" s="1477"/>
      <c r="Q1459" s="1477"/>
      <c r="R1459" s="1480" t="s">
        <v>396</v>
      </c>
      <c r="S1459" s="1477"/>
      <c r="T1459" s="1480" t="str">
        <f>IF(Q$968="Yes",M973,"")</f>
        <v/>
      </c>
      <c r="U1459" s="1477"/>
      <c r="V1459" s="1477"/>
      <c r="W1459" s="1477"/>
      <c r="X1459" s="1477"/>
      <c r="Y1459" s="1477"/>
      <c r="Z1459" s="1477"/>
    </row>
    <row r="1460" spans="1:26" hidden="1" x14ac:dyDescent="0.25">
      <c r="A1460" s="1189" t="s">
        <v>1403</v>
      </c>
      <c r="B1460" s="1427" t="str">
        <f>IFERROR(_xlfn.CONCAT("G",('Configurable Tab'!$C$14+4)),"")</f>
        <v>G146</v>
      </c>
      <c r="C1460" s="1427" t="str">
        <f>IFERROR(_xlfn.CONCAT("G",('Configurable Tab'!$C$14+5)),"")</f>
        <v>G147</v>
      </c>
      <c r="D1460" s="1480" t="s">
        <v>1365</v>
      </c>
      <c r="E1460" s="867" t="s">
        <v>1806</v>
      </c>
      <c r="F1460" s="1480"/>
      <c r="G1460" s="1480"/>
      <c r="H1460" s="1480"/>
      <c r="I1460" s="1427" t="str">
        <f t="shared" si="229"/>
        <v>Minimum Units</v>
      </c>
      <c r="J1460" s="1480" t="str">
        <f t="shared" si="227"/>
        <v>F</v>
      </c>
      <c r="K1460" s="1480" t="str">
        <f t="shared" si="228"/>
        <v>Incentives</v>
      </c>
      <c r="L1460" s="1480"/>
      <c r="M1460" s="1480"/>
      <c r="N1460" s="1480"/>
      <c r="O1460" s="1477"/>
      <c r="P1460" s="1477"/>
      <c r="Q1460" s="1477"/>
      <c r="R1460" s="1480" t="s">
        <v>396</v>
      </c>
      <c r="S1460" s="1477"/>
      <c r="T1460" s="1480" t="str">
        <f>IF(Q$968="Yes",M982,"")</f>
        <v/>
      </c>
      <c r="U1460" s="1477"/>
      <c r="V1460" s="1477"/>
      <c r="W1460" s="1477"/>
      <c r="X1460" s="1477"/>
      <c r="Y1460" s="1477"/>
      <c r="Z1460" s="1477"/>
    </row>
    <row r="1461" spans="1:26" hidden="1" x14ac:dyDescent="0.25">
      <c r="A1461" s="1189" t="s">
        <v>1405</v>
      </c>
      <c r="B1461" s="1427" t="str">
        <f>IFERROR(_xlfn.CONCAT("K",('Configurable Tab'!$C$14+4)),"")</f>
        <v>K146</v>
      </c>
      <c r="C1461" s="1427" t="str">
        <f>IFERROR(_xlfn.CONCAT("K",('Configurable Tab'!$C$14+5)),"")</f>
        <v>K147</v>
      </c>
      <c r="D1461" s="1480" t="s">
        <v>1365</v>
      </c>
      <c r="E1461" s="867" t="s">
        <v>1806</v>
      </c>
      <c r="F1461" s="1480"/>
      <c r="G1461" s="1480"/>
      <c r="H1461" s="1480"/>
      <c r="I1461" s="1427" t="str">
        <f t="shared" si="229"/>
        <v>Rate % of Sales</v>
      </c>
      <c r="J1461" s="1480" t="str">
        <f t="shared" si="227"/>
        <v>F</v>
      </c>
      <c r="K1461" s="1480" t="str">
        <f t="shared" si="228"/>
        <v>Incentives</v>
      </c>
      <c r="L1461" s="1480"/>
      <c r="M1461" s="1480"/>
      <c r="N1461" s="1480"/>
      <c r="O1461" s="1477"/>
      <c r="P1461" s="1477"/>
      <c r="Q1461" s="1477"/>
      <c r="R1461" s="1480" t="s">
        <v>396</v>
      </c>
      <c r="S1461" s="1477"/>
      <c r="T1461" s="1480" t="str">
        <f>IF(Q$968="Yes",M984,"")</f>
        <v/>
      </c>
      <c r="U1461" s="1477"/>
      <c r="V1461" s="1477"/>
      <c r="W1461" s="1477"/>
      <c r="X1461" s="1477"/>
      <c r="Y1461" s="1477"/>
      <c r="Z1461" s="1477"/>
    </row>
    <row r="1462" spans="1:26" hidden="1" x14ac:dyDescent="0.25">
      <c r="A1462" s="1181" t="s">
        <v>526</v>
      </c>
      <c r="B1462" s="1427" t="str">
        <f>IFERROR(_xlfn.CONCAT("D",('Configurable Tab'!$C$15+1)),"")</f>
        <v>D151</v>
      </c>
      <c r="C1462" s="1427" t="str">
        <f>IFERROR(_xlfn.CONCAT("E",('Configurable Tab'!$C$15+1)),"")</f>
        <v>E151</v>
      </c>
      <c r="D1462" s="1480" t="s">
        <v>1365</v>
      </c>
      <c r="E1462" s="867" t="s">
        <v>1806</v>
      </c>
      <c r="F1462" s="1480"/>
      <c r="G1462" s="1480"/>
      <c r="H1462" s="1480"/>
      <c r="I1462" s="1427" t="str">
        <f t="shared" si="229"/>
        <v>Offer this Incentive?</v>
      </c>
      <c r="J1462" s="1480" t="str">
        <f>$Q$1&amp;T1462</f>
        <v>F970</v>
      </c>
      <c r="K1462" s="1480" t="str">
        <f t="shared" si="228"/>
        <v>Incentives</v>
      </c>
      <c r="L1462" s="1480"/>
      <c r="M1462" s="1480"/>
      <c r="N1462" s="1480"/>
      <c r="O1462" s="1477" t="s">
        <v>1715</v>
      </c>
      <c r="P1462" s="1477"/>
      <c r="Q1462" s="1427" t="str">
        <f>IFERROR(_xlfn.CONCAT("C",('Configurable Tab'!$C15+1)),"")</f>
        <v>C151</v>
      </c>
      <c r="R1462" s="1480" t="s">
        <v>1715</v>
      </c>
      <c r="S1462" s="1477"/>
      <c r="T1462" s="1480">
        <f>IF(Q$987="Yes",M987,"")</f>
        <v>970</v>
      </c>
      <c r="U1462" s="1477"/>
      <c r="V1462" s="1477"/>
      <c r="W1462" s="1477"/>
      <c r="X1462" s="1477"/>
      <c r="Y1462" s="1477"/>
      <c r="Z1462" s="1477"/>
    </row>
    <row r="1463" spans="1:26" hidden="1" x14ac:dyDescent="0.25">
      <c r="A1463" s="1182" t="s">
        <v>1399</v>
      </c>
      <c r="B1463" s="1427" t="str">
        <f>IFERROR(_xlfn.CONCAT("D",('Configurable Tab'!$C$15+2)),"")</f>
        <v>D152</v>
      </c>
      <c r="C1463" s="1427" t="str">
        <f>IFERROR(_xlfn.CONCAT("E",('Configurable Tab'!$C$15+2)),"")</f>
        <v>E152</v>
      </c>
      <c r="D1463" s="1480" t="s">
        <v>1365</v>
      </c>
      <c r="E1463" s="867" t="s">
        <v>1806</v>
      </c>
      <c r="F1463" s="1480"/>
      <c r="G1463" s="1480"/>
      <c r="H1463" s="1480"/>
      <c r="I1463" s="1427" t="str">
        <f t="shared" si="229"/>
        <v>Incentive Type</v>
      </c>
      <c r="J1463" s="1480" t="str">
        <f t="shared" ref="J1463:J1471" si="230">$Q$1&amp;T1463</f>
        <v>F971</v>
      </c>
      <c r="K1463" s="1480" t="str">
        <f t="shared" si="228"/>
        <v>Incentives</v>
      </c>
      <c r="L1463" s="1480"/>
      <c r="M1463" s="1480"/>
      <c r="N1463" s="1480"/>
      <c r="O1463" s="1477"/>
      <c r="P1463" s="1477"/>
      <c r="Q1463" s="1477"/>
      <c r="R1463" s="1480" t="s">
        <v>1715</v>
      </c>
      <c r="S1463" s="1477"/>
      <c r="T1463" s="1480">
        <f>IF(Q$987="Yes",M988,"")</f>
        <v>971</v>
      </c>
      <c r="U1463" s="1477"/>
      <c r="V1463" s="1477"/>
      <c r="W1463" s="1477"/>
      <c r="X1463" s="1477"/>
      <c r="Y1463" s="1477"/>
      <c r="Z1463" s="1477"/>
    </row>
    <row r="1464" spans="1:26" hidden="1" x14ac:dyDescent="0.25">
      <c r="A1464" s="1182" t="s">
        <v>1401</v>
      </c>
      <c r="B1464" s="1427" t="str">
        <f>IFERROR(_xlfn.CONCAT("D",('Configurable Tab'!$C$15+4)),"")</f>
        <v>D154</v>
      </c>
      <c r="C1464" s="1427" t="str">
        <f>IFERROR(_xlfn.CONCAT("E",('Configurable Tab'!$C$15+4)),"")</f>
        <v>E154</v>
      </c>
      <c r="D1464" s="1480" t="s">
        <v>1365</v>
      </c>
      <c r="E1464" s="867" t="s">
        <v>1806</v>
      </c>
      <c r="F1464" s="1480"/>
      <c r="G1464" s="1480"/>
      <c r="H1464" s="1480"/>
      <c r="I1464" s="1427" t="str">
        <f t="shared" si="229"/>
        <v>Incentive Effective Date</v>
      </c>
      <c r="J1464" s="1480" t="str">
        <f t="shared" si="230"/>
        <v>F979</v>
      </c>
      <c r="K1464" s="1480" t="str">
        <f t="shared" si="228"/>
        <v>Incentives</v>
      </c>
      <c r="L1464" s="1480"/>
      <c r="M1464" s="1480"/>
      <c r="N1464" s="1480"/>
      <c r="O1464" s="1477"/>
      <c r="P1464" s="1477"/>
      <c r="Q1464" s="1477"/>
      <c r="R1464" s="1480" t="s">
        <v>1715</v>
      </c>
      <c r="S1464" s="1477"/>
      <c r="T1464" s="1480">
        <f>IF(Q$987="Yes",M996,"")</f>
        <v>979</v>
      </c>
      <c r="U1464" s="1477"/>
      <c r="V1464" s="1477"/>
      <c r="W1464" s="1477"/>
      <c r="X1464" s="1477"/>
      <c r="Y1464" s="1477"/>
      <c r="Z1464" s="1477"/>
    </row>
    <row r="1465" spans="1:26" hidden="1" x14ac:dyDescent="0.25">
      <c r="A1465" s="1182" t="s">
        <v>1402</v>
      </c>
      <c r="B1465" s="1427" t="str">
        <f>IFERROR(_xlfn.CONCAT("D",('Configurable Tab'!$C$15+5)),"")</f>
        <v>D155</v>
      </c>
      <c r="C1465" s="1427" t="str">
        <f>IFERROR(_xlfn.CONCAT("E",('Configurable Tab'!$C$15+5)),"")</f>
        <v>E155</v>
      </c>
      <c r="D1465" s="1480" t="s">
        <v>1365</v>
      </c>
      <c r="E1465" s="867" t="s">
        <v>1806</v>
      </c>
      <c r="F1465" s="1480"/>
      <c r="G1465" s="1480"/>
      <c r="H1465" s="1480"/>
      <c r="I1465" s="1427" t="str">
        <f t="shared" si="229"/>
        <v>Incentive Expiration Date</v>
      </c>
      <c r="J1465" s="1480" t="str">
        <f t="shared" si="230"/>
        <v>F980</v>
      </c>
      <c r="K1465" s="1480" t="str">
        <f t="shared" si="228"/>
        <v>Incentives</v>
      </c>
      <c r="L1465" s="1480"/>
      <c r="M1465" s="1480"/>
      <c r="N1465" s="1480"/>
      <c r="O1465" s="1477"/>
      <c r="P1465" s="1477"/>
      <c r="Q1465" s="1477"/>
      <c r="R1465" s="1480" t="s">
        <v>1715</v>
      </c>
      <c r="S1465" s="1477"/>
      <c r="T1465" s="1480">
        <f>IF(Q$987="Yes",M997,"")</f>
        <v>980</v>
      </c>
      <c r="U1465" s="1477"/>
      <c r="V1465" s="1477"/>
      <c r="W1465" s="1477"/>
      <c r="X1465" s="1477"/>
      <c r="Y1465" s="1477"/>
      <c r="Z1465" s="1477"/>
    </row>
    <row r="1466" spans="1:26" hidden="1" x14ac:dyDescent="0.25">
      <c r="A1466" s="1182" t="s">
        <v>1396</v>
      </c>
      <c r="B1466" s="1427" t="str">
        <f>IFERROR(_xlfn.CONCAT("G",('Configurable Tab'!$C$15+1)),"")</f>
        <v>G151</v>
      </c>
      <c r="C1466" s="1427" t="str">
        <f>IFERROR(_xlfn.CONCAT("G",('Configurable Tab'!$C$15+2)),"")</f>
        <v>G152</v>
      </c>
      <c r="D1466" s="1480" t="s">
        <v>1365</v>
      </c>
      <c r="E1466" s="867" t="s">
        <v>1806</v>
      </c>
      <c r="F1466" s="1480"/>
      <c r="G1466" s="1480"/>
      <c r="H1466" s="1480"/>
      <c r="I1466" s="1427" t="str">
        <f t="shared" si="229"/>
        <v>Incentive Period</v>
      </c>
      <c r="J1466" s="1480" t="str">
        <f t="shared" si="230"/>
        <v>F972</v>
      </c>
      <c r="K1466" s="1480" t="str">
        <f t="shared" si="228"/>
        <v>Incentives</v>
      </c>
      <c r="L1466" s="1480"/>
      <c r="M1466" s="1480"/>
      <c r="N1466" s="1480"/>
      <c r="O1466" s="1477"/>
      <c r="P1466" s="1477"/>
      <c r="Q1466" s="1477"/>
      <c r="R1466" s="1480" t="s">
        <v>1715</v>
      </c>
      <c r="S1466" s="1477"/>
      <c r="T1466" s="1480">
        <f>IF(Q$987="Yes",M989,"")</f>
        <v>972</v>
      </c>
      <c r="U1466" s="1477"/>
      <c r="V1466" s="1477"/>
      <c r="W1466" s="1477"/>
      <c r="X1466" s="1477"/>
      <c r="Y1466" s="1477"/>
      <c r="Z1466" s="1477"/>
    </row>
    <row r="1467" spans="1:26" hidden="1" x14ac:dyDescent="0.25">
      <c r="A1467" s="1182" t="s">
        <v>1397</v>
      </c>
      <c r="B1467" s="1427" t="str">
        <f>IFERROR(_xlfn.CONCAT("I",('Configurable Tab'!$C$15+1)),"")</f>
        <v>I151</v>
      </c>
      <c r="C1467" s="1427" t="str">
        <f>IFERROR(_xlfn.CONCAT("I",('Configurable Tab'!$C$15+2)),"")</f>
        <v>I152</v>
      </c>
      <c r="D1467" s="1480" t="s">
        <v>1365</v>
      </c>
      <c r="E1467" s="867" t="s">
        <v>1806</v>
      </c>
      <c r="F1467" s="1480"/>
      <c r="G1467" s="1480"/>
      <c r="H1467" s="1480"/>
      <c r="I1467" s="1427" t="str">
        <f t="shared" si="229"/>
        <v>Payment Method</v>
      </c>
      <c r="J1467" s="1480" t="str">
        <f t="shared" si="230"/>
        <v>F973</v>
      </c>
      <c r="K1467" s="1480" t="str">
        <f t="shared" si="228"/>
        <v>Incentives</v>
      </c>
      <c r="L1467" s="1480"/>
      <c r="M1467" s="1480"/>
      <c r="N1467" s="1480"/>
      <c r="O1467" s="1477"/>
      <c r="P1467" s="1477"/>
      <c r="Q1467" s="1477"/>
      <c r="R1467" s="1480" t="s">
        <v>1715</v>
      </c>
      <c r="S1467" s="1477"/>
      <c r="T1467" s="1480">
        <f>IF(Q$987="Yes",M990,"")</f>
        <v>973</v>
      </c>
      <c r="U1467" s="1477"/>
      <c r="V1467" s="1477"/>
      <c r="W1467" s="1477"/>
      <c r="X1467" s="1477"/>
      <c r="Y1467" s="1477"/>
      <c r="Z1467" s="1477"/>
    </row>
    <row r="1468" spans="1:26" hidden="1" x14ac:dyDescent="0.25">
      <c r="A1468" s="1182" t="s">
        <v>839</v>
      </c>
      <c r="B1468" s="1427" t="str">
        <f>IFERROR(_xlfn.CONCAT("K",('Configurable Tab'!$C$15+1)),"")</f>
        <v>K151</v>
      </c>
      <c r="C1468" s="1427" t="str">
        <f>IFERROR(_xlfn.CONCAT("K",('Configurable Tab'!$C$15+2)),"")</f>
        <v>K152</v>
      </c>
      <c r="D1468" s="1480" t="s">
        <v>1365</v>
      </c>
      <c r="E1468" s="867" t="s">
        <v>1806</v>
      </c>
      <c r="F1468" s="1480"/>
      <c r="G1468" s="1480"/>
      <c r="H1468" s="1480"/>
      <c r="I1468" s="1427" t="str">
        <f t="shared" si="229"/>
        <v>Paid to:</v>
      </c>
      <c r="J1468" s="1480" t="str">
        <f t="shared" si="230"/>
        <v>F974</v>
      </c>
      <c r="K1468" s="1480" t="str">
        <f t="shared" si="228"/>
        <v>Incentives</v>
      </c>
      <c r="L1468" s="1480"/>
      <c r="M1468" s="1480"/>
      <c r="N1468" s="1480"/>
      <c r="O1468" s="1477"/>
      <c r="P1468" s="1477"/>
      <c r="Q1468" s="1477"/>
      <c r="R1468" s="1480" t="s">
        <v>1715</v>
      </c>
      <c r="S1468" s="1477"/>
      <c r="T1468" s="1480">
        <f>IF(Q$987="Yes",M991,"")</f>
        <v>974</v>
      </c>
      <c r="U1468" s="1477"/>
      <c r="V1468" s="1477"/>
      <c r="W1468" s="1477"/>
      <c r="X1468" s="1477"/>
      <c r="Y1468" s="1477"/>
      <c r="Z1468" s="1477"/>
    </row>
    <row r="1469" spans="1:26" hidden="1" x14ac:dyDescent="0.25">
      <c r="A1469" s="1182" t="s">
        <v>1398</v>
      </c>
      <c r="B1469" s="1427" t="str">
        <f>IFERROR(_xlfn.CONCAT("M",('Configurable Tab'!$C$15+1)),"")</f>
        <v>M151</v>
      </c>
      <c r="C1469" s="1427" t="str">
        <f>IFERROR(_xlfn.CONCAT("M",('Configurable Tab'!$C$15+2)),"")</f>
        <v>M152</v>
      </c>
      <c r="D1469" s="1480" t="s">
        <v>1365</v>
      </c>
      <c r="E1469" s="867" t="s">
        <v>1806</v>
      </c>
      <c r="F1469" s="1480"/>
      <c r="G1469" s="1480"/>
      <c r="H1469" s="1480"/>
      <c r="I1469" s="1427" t="str">
        <f t="shared" si="229"/>
        <v>AP/AR Vendor Number</v>
      </c>
      <c r="J1469" s="1480" t="str">
        <f t="shared" si="230"/>
        <v>F975</v>
      </c>
      <c r="K1469" s="1480" t="str">
        <f t="shared" si="228"/>
        <v>Incentives</v>
      </c>
      <c r="L1469" s="1480"/>
      <c r="M1469" s="1480"/>
      <c r="N1469" s="1480"/>
      <c r="O1469" s="1477"/>
      <c r="P1469" s="1477"/>
      <c r="Q1469" s="1477"/>
      <c r="R1469" s="1480" t="s">
        <v>1715</v>
      </c>
      <c r="S1469" s="1477"/>
      <c r="T1469" s="1480">
        <f>IF(Q$987="Yes",M992,"")</f>
        <v>975</v>
      </c>
      <c r="U1469" s="1477"/>
      <c r="V1469" s="1477"/>
      <c r="W1469" s="1477"/>
      <c r="X1469" s="1477"/>
      <c r="Y1469" s="1477"/>
      <c r="Z1469" s="1477"/>
    </row>
    <row r="1470" spans="1:26" hidden="1" x14ac:dyDescent="0.25">
      <c r="A1470" s="1182" t="s">
        <v>1403</v>
      </c>
      <c r="B1470" s="1427" t="str">
        <f>IFERROR(_xlfn.CONCAT("G",('Configurable Tab'!$C$15+4)),"")</f>
        <v>G154</v>
      </c>
      <c r="C1470" s="1427" t="str">
        <f>IFERROR(_xlfn.CONCAT("G",('Configurable Tab'!$C$15+5)),"")</f>
        <v>G155</v>
      </c>
      <c r="D1470" s="1480" t="s">
        <v>1365</v>
      </c>
      <c r="E1470" s="867" t="s">
        <v>1806</v>
      </c>
      <c r="F1470" s="1480"/>
      <c r="G1470" s="1480"/>
      <c r="H1470" s="1480"/>
      <c r="I1470" s="1427" t="str">
        <f t="shared" si="229"/>
        <v>Minimum Units</v>
      </c>
      <c r="J1470" s="1480" t="str">
        <f t="shared" si="230"/>
        <v>F984</v>
      </c>
      <c r="K1470" s="1480" t="str">
        <f t="shared" si="228"/>
        <v>Incentives</v>
      </c>
      <c r="L1470" s="1480"/>
      <c r="M1470" s="1480"/>
      <c r="N1470" s="1480"/>
      <c r="O1470" s="1477"/>
      <c r="P1470" s="1477"/>
      <c r="Q1470" s="1477"/>
      <c r="R1470" s="1480" t="s">
        <v>1715</v>
      </c>
      <c r="S1470" s="1477"/>
      <c r="T1470" s="1480">
        <f>IF(Q$987="Yes",M1001,"")</f>
        <v>984</v>
      </c>
      <c r="U1470" s="1477"/>
      <c r="V1470" s="1477"/>
      <c r="W1470" s="1477"/>
      <c r="X1470" s="1477"/>
      <c r="Y1470" s="1477"/>
      <c r="Z1470" s="1477"/>
    </row>
    <row r="1471" spans="1:26" hidden="1" x14ac:dyDescent="0.25">
      <c r="A1471" s="1182" t="s">
        <v>1405</v>
      </c>
      <c r="B1471" s="1427" t="str">
        <f>IFERROR(_xlfn.CONCAT("K",('Configurable Tab'!$C$15+4)),"")</f>
        <v>K154</v>
      </c>
      <c r="C1471" s="1427" t="str">
        <f>IFERROR(_xlfn.CONCAT("K",('Configurable Tab'!$C$15+5)),"")</f>
        <v>K155</v>
      </c>
      <c r="D1471" s="1480" t="s">
        <v>1365</v>
      </c>
      <c r="E1471" s="867" t="s">
        <v>1806</v>
      </c>
      <c r="F1471" s="1480"/>
      <c r="G1471" s="1480"/>
      <c r="H1471" s="1480"/>
      <c r="I1471" s="1427" t="str">
        <f t="shared" si="229"/>
        <v>Rate % of Sales</v>
      </c>
      <c r="J1471" s="1480" t="str">
        <f t="shared" si="230"/>
        <v>F986</v>
      </c>
      <c r="K1471" s="1480" t="str">
        <f t="shared" si="228"/>
        <v>Incentives</v>
      </c>
      <c r="L1471" s="1480"/>
      <c r="M1471" s="1480"/>
      <c r="N1471" s="1480"/>
      <c r="O1471" s="1477"/>
      <c r="P1471" s="1477"/>
      <c r="Q1471" s="1477"/>
      <c r="R1471" s="1480" t="s">
        <v>1715</v>
      </c>
      <c r="S1471" s="1477"/>
      <c r="T1471" s="1480">
        <f>IF(Q$987="Yes",M1003,"")</f>
        <v>986</v>
      </c>
      <c r="U1471" s="1477"/>
      <c r="V1471" s="1477"/>
      <c r="W1471" s="1477"/>
      <c r="X1471" s="1477"/>
      <c r="Y1471" s="1477"/>
      <c r="Z1471" s="1477"/>
    </row>
    <row r="1472" spans="1:26" hidden="1" x14ac:dyDescent="0.25">
      <c r="A1472" s="929" t="s">
        <v>526</v>
      </c>
      <c r="B1472" s="1427" t="str">
        <f>IFERROR(_xlfn.CONCAT("D",('Configurable Tab'!$C$16+1)),"")</f>
        <v>D159</v>
      </c>
      <c r="C1472" s="1427" t="str">
        <f>IFERROR(_xlfn.CONCAT("E",('Configurable Tab'!$C$16+1)),"")</f>
        <v>E159</v>
      </c>
      <c r="D1472" s="1480" t="s">
        <v>1365</v>
      </c>
      <c r="E1472" s="867" t="s">
        <v>1806</v>
      </c>
      <c r="F1472" s="1480"/>
      <c r="G1472" s="1480"/>
      <c r="H1472" s="1480"/>
      <c r="I1472" s="1427" t="str">
        <f t="shared" si="229"/>
        <v>Offer this Incentive?</v>
      </c>
      <c r="J1472" s="1480" t="str">
        <f>$Q$1&amp;IF(T$1472&lt;&gt;0,U1472,IF(T$1479&lt;&gt;0,U1479,""))</f>
        <v>F1010</v>
      </c>
      <c r="K1472" s="1480" t="str">
        <f t="shared" si="228"/>
        <v>Incentives</v>
      </c>
      <c r="L1472" s="1480"/>
      <c r="M1472" s="1480"/>
      <c r="N1472" s="1480"/>
      <c r="O1472" s="1477" t="s">
        <v>1824</v>
      </c>
      <c r="P1472" s="1477"/>
      <c r="Q1472" s="1427" t="str">
        <f>IFERROR(_xlfn.CONCAT("C",('Configurable Tab'!$C16+1)),"")</f>
        <v>C159</v>
      </c>
      <c r="R1472" s="1480" t="s">
        <v>483</v>
      </c>
      <c r="S1472" s="1480" t="s">
        <v>1824</v>
      </c>
      <c r="T1472" s="1480">
        <f>IF(Q1005="Yes",IF(Q1016="Yes",2,1),0)</f>
        <v>0</v>
      </c>
      <c r="U1472" s="1480" t="str">
        <f>IF(Q$1005="Yes",M1005,"")</f>
        <v/>
      </c>
      <c r="V1472" s="1480" t="str">
        <f>IF(Q$1016="Yes",M1016,"")</f>
        <v/>
      </c>
      <c r="W1472" s="1477"/>
      <c r="X1472" s="1477"/>
      <c r="Y1472" s="1477"/>
      <c r="Z1472" s="1477"/>
    </row>
    <row r="1473" spans="1:26" hidden="1" x14ac:dyDescent="0.25">
      <c r="A1473" s="924" t="s">
        <v>1399</v>
      </c>
      <c r="B1473" s="1427" t="str">
        <f>IFERROR(_xlfn.CONCAT("D",('Configurable Tab'!$C$16+2)),"")</f>
        <v>D160</v>
      </c>
      <c r="C1473" s="1427" t="str">
        <f>IFERROR(_xlfn.CONCAT("E",('Configurable Tab'!$C$16+2)),"")</f>
        <v>E160</v>
      </c>
      <c r="D1473" s="1480" t="s">
        <v>1365</v>
      </c>
      <c r="E1473" s="867" t="s">
        <v>1806</v>
      </c>
      <c r="F1473" s="1480"/>
      <c r="G1473" s="1480"/>
      <c r="H1473" s="1480"/>
      <c r="I1473" s="1427" t="str">
        <f t="shared" si="229"/>
        <v>Incentive Type</v>
      </c>
      <c r="J1473" s="1480" t="str">
        <f t="shared" ref="J1473:J1478" si="231">$Q$1&amp;IF(T$1472&lt;&gt;0,U1473,IF(T$1479&lt;&gt;0,U1480,""))</f>
        <v>F1011</v>
      </c>
      <c r="K1473" s="1480" t="str">
        <f t="shared" si="228"/>
        <v>Incentives</v>
      </c>
      <c r="L1473" s="1480"/>
      <c r="M1473" s="1480"/>
      <c r="N1473" s="1480"/>
      <c r="O1473" s="1477"/>
      <c r="P1473" s="1477"/>
      <c r="Q1473" s="1477"/>
      <c r="R1473" s="1480" t="s">
        <v>483</v>
      </c>
      <c r="S1473" s="1480" t="s">
        <v>1824</v>
      </c>
      <c r="T1473" s="1477"/>
      <c r="U1473" s="1480" t="str">
        <f>IF(Q$1005="Yes",M1006,"")</f>
        <v/>
      </c>
      <c r="V1473" s="1480" t="str">
        <f>IF(Q$1016="Yes",M1017,"")</f>
        <v/>
      </c>
      <c r="W1473" s="1477"/>
      <c r="X1473" s="1477"/>
      <c r="Y1473" s="1477"/>
      <c r="Z1473" s="1477"/>
    </row>
    <row r="1474" spans="1:26" hidden="1" x14ac:dyDescent="0.25">
      <c r="A1474" s="924" t="s">
        <v>1401</v>
      </c>
      <c r="B1474" s="1427" t="str">
        <f>IFERROR(_xlfn.CONCAT("D",('Configurable Tab'!$C$16+4)),"")</f>
        <v>D162</v>
      </c>
      <c r="C1474" s="1427" t="str">
        <f>IFERROR(_xlfn.CONCAT("E",('Configurable Tab'!$C$16+4)),"")</f>
        <v>E162</v>
      </c>
      <c r="D1474" s="1480" t="s">
        <v>1365</v>
      </c>
      <c r="E1474" s="867" t="s">
        <v>1806</v>
      </c>
      <c r="F1474" s="1480"/>
      <c r="G1474" s="1480"/>
      <c r="H1474" s="1480"/>
      <c r="I1474" s="1427" t="str">
        <f t="shared" si="229"/>
        <v>Incentive Effective Date</v>
      </c>
      <c r="J1474" s="1480" t="str">
        <f t="shared" si="231"/>
        <v>F1015</v>
      </c>
      <c r="K1474" s="1480" t="str">
        <f t="shared" si="228"/>
        <v>Incentives</v>
      </c>
      <c r="L1474" s="1480"/>
      <c r="M1474" s="1480"/>
      <c r="N1474" s="1480"/>
      <c r="O1474" s="1477"/>
      <c r="P1474" s="1477"/>
      <c r="Q1474" s="1477"/>
      <c r="R1474" s="1480" t="s">
        <v>483</v>
      </c>
      <c r="S1474" s="1480" t="s">
        <v>1824</v>
      </c>
      <c r="T1474" s="1477"/>
      <c r="U1474" s="1480" t="str">
        <f>IF(Q$1005="Yes",M1010,"")</f>
        <v/>
      </c>
      <c r="V1474" s="1480" t="str">
        <f>IF(Q$1016="Yes",M1021,"")</f>
        <v/>
      </c>
      <c r="W1474" s="1477"/>
      <c r="X1474" s="1477"/>
      <c r="Y1474" s="1477"/>
      <c r="Z1474" s="1477"/>
    </row>
    <row r="1475" spans="1:26" hidden="1" x14ac:dyDescent="0.25">
      <c r="A1475" s="924" t="s">
        <v>1402</v>
      </c>
      <c r="B1475" s="1427" t="str">
        <f>IFERROR(_xlfn.CONCAT("D",('Configurable Tab'!$C$16+5)),"")</f>
        <v>D163</v>
      </c>
      <c r="C1475" s="1427" t="str">
        <f>IFERROR(_xlfn.CONCAT("E",('Configurable Tab'!$C$16+5)),"")</f>
        <v>E163</v>
      </c>
      <c r="D1475" s="1480" t="s">
        <v>1365</v>
      </c>
      <c r="E1475" s="867" t="s">
        <v>1806</v>
      </c>
      <c r="F1475" s="1480"/>
      <c r="G1475" s="1480"/>
      <c r="H1475" s="1480"/>
      <c r="I1475" s="1427" t="str">
        <f t="shared" si="229"/>
        <v>Incentive Expiration Date</v>
      </c>
      <c r="J1475" s="1480" t="str">
        <f t="shared" si="231"/>
        <v>F1016</v>
      </c>
      <c r="K1475" s="1480" t="str">
        <f t="shared" si="228"/>
        <v>Incentives</v>
      </c>
      <c r="L1475" s="1480"/>
      <c r="M1475" s="1480"/>
      <c r="N1475" s="1480"/>
      <c r="O1475" s="1477"/>
      <c r="P1475" s="1477"/>
      <c r="Q1475" s="1477"/>
      <c r="R1475" s="1480" t="s">
        <v>483</v>
      </c>
      <c r="S1475" s="1480" t="s">
        <v>1824</v>
      </c>
      <c r="T1475" s="1477"/>
      <c r="U1475" s="1480" t="str">
        <f>IF(Q$1005="Yes",M1011,"")</f>
        <v/>
      </c>
      <c r="V1475" s="1480" t="str">
        <f>IF(Q$1016="Yes",M1022,"")</f>
        <v/>
      </c>
      <c r="W1475" s="1477"/>
      <c r="X1475" s="1477"/>
      <c r="Y1475" s="1477"/>
      <c r="Z1475" s="1477"/>
    </row>
    <row r="1476" spans="1:26" hidden="1" x14ac:dyDescent="0.25">
      <c r="A1476" s="924" t="s">
        <v>1412</v>
      </c>
      <c r="B1476" s="1427" t="str">
        <f>IFERROR(_xlfn.CONCAT("G",('Configurable Tab'!$C$16+4)),"")</f>
        <v>G162</v>
      </c>
      <c r="C1476" s="1427" t="str">
        <f>IFERROR(_xlfn.CONCAT("G",('Configurable Tab'!$C$16+5)),"")</f>
        <v>G163</v>
      </c>
      <c r="D1476" s="1480" t="s">
        <v>1365</v>
      </c>
      <c r="E1476" s="867" t="s">
        <v>1806</v>
      </c>
      <c r="F1476" s="1480"/>
      <c r="G1476" s="1480"/>
      <c r="H1476" s="1480"/>
      <c r="I1476" s="1427" t="str">
        <f t="shared" si="229"/>
        <v>FF Payment Amount</v>
      </c>
      <c r="J1476" s="1480" t="str">
        <f t="shared" si="231"/>
        <v>F1019</v>
      </c>
      <c r="K1476" s="1480" t="str">
        <f t="shared" si="228"/>
        <v>Incentives</v>
      </c>
      <c r="L1476" s="1480"/>
      <c r="M1476" s="1480"/>
      <c r="N1476" s="1480"/>
      <c r="O1476" s="1477"/>
      <c r="P1476" s="1477"/>
      <c r="Q1476" s="1477"/>
      <c r="R1476" s="1480" t="s">
        <v>483</v>
      </c>
      <c r="S1476" s="1480" t="s">
        <v>1824</v>
      </c>
      <c r="T1476" s="1477"/>
      <c r="U1476" s="1480" t="str">
        <f>IF(Q$1005="Yes",M1014,"")</f>
        <v/>
      </c>
      <c r="V1476" s="1480" t="str">
        <f>IF(Q$1016="Yes",M1025,"")</f>
        <v/>
      </c>
      <c r="W1476" s="1477"/>
      <c r="X1476" s="1477"/>
      <c r="Y1476" s="1477"/>
      <c r="Z1476" s="1477"/>
    </row>
    <row r="1477" spans="1:26" hidden="1" x14ac:dyDescent="0.25">
      <c r="A1477" s="924" t="s">
        <v>1397</v>
      </c>
      <c r="B1477" s="1427" t="str">
        <f>IFERROR(_xlfn.CONCAT("I",('Configurable Tab'!$C$16+1)),"")</f>
        <v>I159</v>
      </c>
      <c r="C1477" s="1427" t="str">
        <f>IFERROR(_xlfn.CONCAT("I",('Configurable Tab'!$C$16+2)),"")</f>
        <v>I160</v>
      </c>
      <c r="D1477" s="1480" t="s">
        <v>1365</v>
      </c>
      <c r="E1477" s="867" t="s">
        <v>1806</v>
      </c>
      <c r="F1477" s="1480"/>
      <c r="G1477" s="1480"/>
      <c r="H1477" s="1480"/>
      <c r="I1477" s="1427" t="str">
        <f t="shared" si="229"/>
        <v>Payment Method</v>
      </c>
      <c r="J1477" s="1480" t="str">
        <f t="shared" si="231"/>
        <v>F1013</v>
      </c>
      <c r="K1477" s="1480" t="str">
        <f t="shared" ref="K1477:K1540" si="232">IF(J1477&lt;&gt;"",E1477,"")</f>
        <v>Incentives</v>
      </c>
      <c r="L1477" s="1480"/>
      <c r="M1477" s="1480"/>
      <c r="N1477" s="1480"/>
      <c r="O1477" s="1477"/>
      <c r="P1477" s="1477"/>
      <c r="Q1477" s="1477"/>
      <c r="R1477" s="1480" t="s">
        <v>483</v>
      </c>
      <c r="S1477" s="1480" t="s">
        <v>1824</v>
      </c>
      <c r="T1477" s="1477"/>
      <c r="U1477" s="1480" t="str">
        <f>IF(Q$1005="Yes",M1007,"")</f>
        <v/>
      </c>
      <c r="V1477" s="1480" t="str">
        <f>IF(Q$1016="Yes",M1018,"")</f>
        <v/>
      </c>
      <c r="W1477" s="1477"/>
      <c r="X1477" s="1477"/>
      <c r="Y1477" s="1477"/>
      <c r="Z1477" s="1477"/>
    </row>
    <row r="1478" spans="1:26" hidden="1" x14ac:dyDescent="0.25">
      <c r="A1478" s="924" t="s">
        <v>1398</v>
      </c>
      <c r="B1478" s="1427" t="str">
        <f>IFERROR(_xlfn.CONCAT("M",('Configurable Tab'!$C$16+1)),"")</f>
        <v>M159</v>
      </c>
      <c r="C1478" s="1427" t="str">
        <f>IFERROR(_xlfn.CONCAT("M",('Configurable Tab'!$C$16+2)),"")</f>
        <v>M160</v>
      </c>
      <c r="D1478" s="1480" t="s">
        <v>1365</v>
      </c>
      <c r="E1478" s="867" t="s">
        <v>1806</v>
      </c>
      <c r="F1478" s="1480"/>
      <c r="G1478" s="1480"/>
      <c r="H1478" s="1480"/>
      <c r="I1478" s="1427" t="str">
        <f t="shared" ref="I1478:I1541" si="233">IF(J1478&lt;&gt;"",A1478,"")</f>
        <v>AP/AR Vendor Number</v>
      </c>
      <c r="J1478" s="1480" t="str">
        <f t="shared" si="231"/>
        <v>F1014</v>
      </c>
      <c r="K1478" s="1480" t="str">
        <f t="shared" si="232"/>
        <v>Incentives</v>
      </c>
      <c r="L1478" s="1480"/>
      <c r="M1478" s="1480"/>
      <c r="N1478" s="1480"/>
      <c r="O1478" s="1477"/>
      <c r="P1478" s="1477"/>
      <c r="Q1478" s="1477"/>
      <c r="R1478" s="1480" t="s">
        <v>483</v>
      </c>
      <c r="S1478" s="1480" t="s">
        <v>1824</v>
      </c>
      <c r="T1478" s="1477"/>
      <c r="U1478" s="1480" t="str">
        <f>IF(Q$1005="Yes",M1009,"")</f>
        <v/>
      </c>
      <c r="V1478" s="1480" t="str">
        <f>IF(Q$1016="Yes",M1020,"")</f>
        <v/>
      </c>
      <c r="W1478" s="1477"/>
      <c r="X1478" s="1477"/>
      <c r="Y1478" s="1477"/>
      <c r="Z1478" s="1477"/>
    </row>
    <row r="1479" spans="1:26" hidden="1" x14ac:dyDescent="0.25">
      <c r="A1479" s="1107" t="s">
        <v>526</v>
      </c>
      <c r="B1479" s="1427" t="str">
        <f>IFERROR(_xlfn.CONCAT("D",('Configurable Tab'!$C$17+1)),"")</f>
        <v>D167</v>
      </c>
      <c r="C1479" s="1427" t="str">
        <f>IFERROR(_xlfn.CONCAT("E",('Configurable Tab'!$C$17+1)),"")</f>
        <v>E167</v>
      </c>
      <c r="D1479" s="1480" t="s">
        <v>1365</v>
      </c>
      <c r="E1479" s="867" t="s">
        <v>1806</v>
      </c>
      <c r="F1479" s="1480"/>
      <c r="G1479" s="1480"/>
      <c r="H1479" s="1480"/>
      <c r="I1479" s="1427" t="str">
        <f t="shared" si="233"/>
        <v>Offer this Incentive?</v>
      </c>
      <c r="J1479" s="1480" t="str">
        <f>$Q$1&amp;IF(T$1472=2,V1472,IF(T$1479=1,U1479,""))</f>
        <v>F1010</v>
      </c>
      <c r="K1479" s="1480" t="str">
        <f t="shared" si="232"/>
        <v>Incentives</v>
      </c>
      <c r="L1479" s="1480"/>
      <c r="M1479" s="1480"/>
      <c r="N1479" s="1480"/>
      <c r="O1479" s="1477" t="s">
        <v>1824</v>
      </c>
      <c r="P1479" s="1477"/>
      <c r="Q1479" s="1427" t="str">
        <f>IFERROR(_xlfn.CONCAT("C",('Configurable Tab'!$C17+1)),"")</f>
        <v>C167</v>
      </c>
      <c r="R1479" s="1480" t="s">
        <v>483</v>
      </c>
      <c r="S1479" s="1480" t="s">
        <v>1825</v>
      </c>
      <c r="T1479" s="1480">
        <f>IF(Q$1027="Yes",1,0)</f>
        <v>1</v>
      </c>
      <c r="U1479" s="1480">
        <f>IF(Q$1027="Yes",M1027,"")</f>
        <v>1010</v>
      </c>
      <c r="V1479" s="1477"/>
      <c r="W1479" s="1477"/>
      <c r="X1479" s="1477"/>
      <c r="Y1479" s="1477"/>
      <c r="Z1479" s="1477"/>
    </row>
    <row r="1480" spans="1:26" hidden="1" x14ac:dyDescent="0.25">
      <c r="A1480" s="1108" t="s">
        <v>1399</v>
      </c>
      <c r="B1480" s="1427" t="str">
        <f>IFERROR(_xlfn.CONCAT("D",('Configurable Tab'!$C$17+2)),"")</f>
        <v>D168</v>
      </c>
      <c r="C1480" s="1427" t="str">
        <f>IFERROR(_xlfn.CONCAT("E",('Configurable Tab'!$C$17+2)),"")</f>
        <v>E168</v>
      </c>
      <c r="D1480" s="1480" t="s">
        <v>1365</v>
      </c>
      <c r="E1480" s="867" t="s">
        <v>1806</v>
      </c>
      <c r="F1480" s="1480"/>
      <c r="G1480" s="1480"/>
      <c r="H1480" s="1480"/>
      <c r="I1480" s="1427" t="str">
        <f t="shared" si="233"/>
        <v>Incentive Type</v>
      </c>
      <c r="J1480" s="1480" t="str">
        <f t="shared" ref="J1480:J1485" si="234">$Q$1&amp;IF(T$1472=2,V1473,IF(T$1479=1,U1480,""))</f>
        <v>F1011</v>
      </c>
      <c r="K1480" s="1480" t="str">
        <f t="shared" si="232"/>
        <v>Incentives</v>
      </c>
      <c r="L1480" s="1480"/>
      <c r="M1480" s="1480"/>
      <c r="N1480" s="1480"/>
      <c r="O1480" s="1477"/>
      <c r="P1480" s="1477"/>
      <c r="Q1480" s="1477"/>
      <c r="R1480" s="1480" t="s">
        <v>483</v>
      </c>
      <c r="S1480" s="1480" t="s">
        <v>1825</v>
      </c>
      <c r="T1480" s="1477"/>
      <c r="U1480" s="1480">
        <f>IF(Q$1027="Yes",M1028,"")</f>
        <v>1011</v>
      </c>
      <c r="V1480" s="1477"/>
      <c r="W1480" s="1477"/>
      <c r="X1480" s="1477"/>
      <c r="Y1480" s="1477"/>
      <c r="Z1480" s="1477"/>
    </row>
    <row r="1481" spans="1:26" hidden="1" x14ac:dyDescent="0.25">
      <c r="A1481" s="1108" t="s">
        <v>1401</v>
      </c>
      <c r="B1481" s="1427" t="str">
        <f>IFERROR(_xlfn.CONCAT("D",('Configurable Tab'!$C$17+4)),"")</f>
        <v>D170</v>
      </c>
      <c r="C1481" s="1427" t="str">
        <f>IFERROR(_xlfn.CONCAT("E",('Configurable Tab'!$C$17+4)),"")</f>
        <v>E170</v>
      </c>
      <c r="D1481" s="1480" t="s">
        <v>1365</v>
      </c>
      <c r="E1481" s="867" t="s">
        <v>1806</v>
      </c>
      <c r="F1481" s="1480"/>
      <c r="G1481" s="1480"/>
      <c r="H1481" s="1480"/>
      <c r="I1481" s="1427" t="str">
        <f t="shared" si="233"/>
        <v>Incentive Effective Date</v>
      </c>
      <c r="J1481" s="1480" t="str">
        <f t="shared" si="234"/>
        <v>F1015</v>
      </c>
      <c r="K1481" s="1480" t="str">
        <f t="shared" si="232"/>
        <v>Incentives</v>
      </c>
      <c r="L1481" s="1480"/>
      <c r="M1481" s="1480"/>
      <c r="N1481" s="1480"/>
      <c r="O1481" s="1477"/>
      <c r="P1481" s="1477"/>
      <c r="Q1481" s="1477"/>
      <c r="R1481" s="1480" t="s">
        <v>483</v>
      </c>
      <c r="S1481" s="1480" t="s">
        <v>1825</v>
      </c>
      <c r="T1481" s="1477"/>
      <c r="U1481" s="1480">
        <f>IF(Q$1027="Yes",M1032,"")</f>
        <v>1015</v>
      </c>
      <c r="V1481" s="1477"/>
      <c r="W1481" s="1477"/>
      <c r="X1481" s="1477"/>
      <c r="Y1481" s="1477"/>
      <c r="Z1481" s="1477"/>
    </row>
    <row r="1482" spans="1:26" hidden="1" x14ac:dyDescent="0.25">
      <c r="A1482" s="1108" t="s">
        <v>1402</v>
      </c>
      <c r="B1482" s="1427" t="str">
        <f>IFERROR(_xlfn.CONCAT("D",('Configurable Tab'!$C$17+5)),"")</f>
        <v>D171</v>
      </c>
      <c r="C1482" s="1427" t="str">
        <f>IFERROR(_xlfn.CONCAT("E",('Configurable Tab'!$C$17+5)),"")</f>
        <v>E171</v>
      </c>
      <c r="D1482" s="1480" t="s">
        <v>1365</v>
      </c>
      <c r="E1482" s="867" t="s">
        <v>1806</v>
      </c>
      <c r="F1482" s="1480"/>
      <c r="G1482" s="1480"/>
      <c r="H1482" s="1480"/>
      <c r="I1482" s="1427" t="str">
        <f t="shared" si="233"/>
        <v>Incentive Expiration Date</v>
      </c>
      <c r="J1482" s="1480" t="str">
        <f t="shared" si="234"/>
        <v>F1016</v>
      </c>
      <c r="K1482" s="1480" t="str">
        <f t="shared" si="232"/>
        <v>Incentives</v>
      </c>
      <c r="L1482" s="1480"/>
      <c r="M1482" s="1480"/>
      <c r="N1482" s="1480"/>
      <c r="O1482" s="1477"/>
      <c r="P1482" s="1477"/>
      <c r="Q1482" s="1477"/>
      <c r="R1482" s="1480" t="s">
        <v>483</v>
      </c>
      <c r="S1482" s="1480" t="s">
        <v>1825</v>
      </c>
      <c r="T1482" s="1477"/>
      <c r="U1482" s="1480">
        <f>IF(Q$1027="Yes",M1033,"")</f>
        <v>1016</v>
      </c>
      <c r="V1482" s="1477"/>
      <c r="W1482" s="1477"/>
      <c r="X1482" s="1477"/>
      <c r="Y1482" s="1477"/>
      <c r="Z1482" s="1477"/>
    </row>
    <row r="1483" spans="1:26" hidden="1" x14ac:dyDescent="0.25">
      <c r="A1483" s="1108" t="s">
        <v>1412</v>
      </c>
      <c r="B1483" s="1427" t="str">
        <f>IFERROR(_xlfn.CONCAT("G",('Configurable Tab'!$C$17+4)),"")</f>
        <v>G170</v>
      </c>
      <c r="C1483" s="1427" t="str">
        <f>IFERROR(_xlfn.CONCAT("G",('Configurable Tab'!$C$17+5)),"")</f>
        <v>G171</v>
      </c>
      <c r="D1483" s="1480" t="s">
        <v>1365</v>
      </c>
      <c r="E1483" s="867" t="s">
        <v>1806</v>
      </c>
      <c r="F1483" s="1480"/>
      <c r="G1483" s="1480"/>
      <c r="H1483" s="1480"/>
      <c r="I1483" s="1427" t="str">
        <f t="shared" si="233"/>
        <v>FF Payment Amount</v>
      </c>
      <c r="J1483" s="1480" t="str">
        <f t="shared" si="234"/>
        <v>F1019</v>
      </c>
      <c r="K1483" s="1480" t="str">
        <f t="shared" si="232"/>
        <v>Incentives</v>
      </c>
      <c r="L1483" s="1480"/>
      <c r="M1483" s="1480"/>
      <c r="N1483" s="1480"/>
      <c r="O1483" s="1477"/>
      <c r="P1483" s="1477"/>
      <c r="Q1483" s="1477"/>
      <c r="R1483" s="1480" t="s">
        <v>483</v>
      </c>
      <c r="S1483" s="1480" t="s">
        <v>1825</v>
      </c>
      <c r="T1483" s="1477"/>
      <c r="U1483" s="1480">
        <f>IF(Q$1027="Yes",M1036,"")</f>
        <v>1019</v>
      </c>
      <c r="V1483" s="1477"/>
      <c r="W1483" s="1477"/>
      <c r="X1483" s="1477"/>
      <c r="Y1483" s="1477"/>
      <c r="Z1483" s="1477"/>
    </row>
    <row r="1484" spans="1:26" hidden="1" x14ac:dyDescent="0.25">
      <c r="A1484" s="1108" t="s">
        <v>1397</v>
      </c>
      <c r="B1484" s="1427" t="str">
        <f>IFERROR(_xlfn.CONCAT("I",('Configurable Tab'!$C$17+1)),"")</f>
        <v>I167</v>
      </c>
      <c r="C1484" s="1427" t="str">
        <f>IFERROR(_xlfn.CONCAT("I",('Configurable Tab'!$C$17+2)),"")</f>
        <v>I168</v>
      </c>
      <c r="D1484" s="1480" t="s">
        <v>1365</v>
      </c>
      <c r="E1484" s="867" t="s">
        <v>1806</v>
      </c>
      <c r="F1484" s="1480"/>
      <c r="G1484" s="1480"/>
      <c r="H1484" s="1480"/>
      <c r="I1484" s="1427" t="str">
        <f t="shared" si="233"/>
        <v>Payment Method</v>
      </c>
      <c r="J1484" s="1480" t="str">
        <f t="shared" si="234"/>
        <v>F1013</v>
      </c>
      <c r="K1484" s="1480" t="str">
        <f t="shared" si="232"/>
        <v>Incentives</v>
      </c>
      <c r="L1484" s="1480"/>
      <c r="M1484" s="1480"/>
      <c r="N1484" s="1480"/>
      <c r="O1484" s="1477"/>
      <c r="P1484" s="1477"/>
      <c r="Q1484" s="1477"/>
      <c r="R1484" s="1480" t="s">
        <v>483</v>
      </c>
      <c r="S1484" s="1480" t="s">
        <v>1825</v>
      </c>
      <c r="T1484" s="1477"/>
      <c r="U1484" s="1480">
        <f>IF(Q$1027="Yes",M1030,"")</f>
        <v>1013</v>
      </c>
      <c r="V1484" s="1477"/>
      <c r="W1484" s="1477"/>
      <c r="X1484" s="1477"/>
      <c r="Y1484" s="1477"/>
      <c r="Z1484" s="1477"/>
    </row>
    <row r="1485" spans="1:26" hidden="1" x14ac:dyDescent="0.25">
      <c r="A1485" s="1108" t="s">
        <v>1398</v>
      </c>
      <c r="B1485" s="1427" t="str">
        <f>IFERROR(_xlfn.CONCAT("M",('Configurable Tab'!$C$17+1)),"")</f>
        <v>M167</v>
      </c>
      <c r="C1485" s="1427" t="str">
        <f>IFERROR(_xlfn.CONCAT("M",('Configurable Tab'!$C$17+2)),"")</f>
        <v>M168</v>
      </c>
      <c r="D1485" s="1480" t="s">
        <v>1365</v>
      </c>
      <c r="E1485" s="867" t="s">
        <v>1806</v>
      </c>
      <c r="F1485" s="1480"/>
      <c r="G1485" s="1480"/>
      <c r="H1485" s="1480"/>
      <c r="I1485" s="1427" t="str">
        <f t="shared" si="233"/>
        <v>AP/AR Vendor Number</v>
      </c>
      <c r="J1485" s="1480" t="str">
        <f t="shared" si="234"/>
        <v>F1014</v>
      </c>
      <c r="K1485" s="1480" t="str">
        <f t="shared" si="232"/>
        <v>Incentives</v>
      </c>
      <c r="L1485" s="1480"/>
      <c r="M1485" s="1480"/>
      <c r="N1485" s="1480"/>
      <c r="O1485" s="1477"/>
      <c r="P1485" s="1477"/>
      <c r="Q1485" s="1477"/>
      <c r="R1485" s="1480" t="s">
        <v>483</v>
      </c>
      <c r="S1485" s="1480" t="s">
        <v>1825</v>
      </c>
      <c r="T1485" s="1477"/>
      <c r="U1485" s="1480">
        <f>IF(Q$1027="Yes",M1031,"")</f>
        <v>1014</v>
      </c>
      <c r="V1485" s="1477"/>
      <c r="W1485" s="1477"/>
      <c r="X1485" s="1477"/>
      <c r="Y1485" s="1477"/>
      <c r="Z1485" s="1477"/>
    </row>
    <row r="1486" spans="1:26" hidden="1" x14ac:dyDescent="0.25">
      <c r="A1486" s="1181" t="s">
        <v>526</v>
      </c>
      <c r="B1486" s="1427" t="str">
        <f>IFERROR(_xlfn.CONCAT("D",('Configurable Tab'!$C$18+1)),"")</f>
        <v>D175</v>
      </c>
      <c r="C1486" s="1427" t="str">
        <f>IFERROR(_xlfn.CONCAT("E",('Configurable Tab'!$C$18+1)),"")</f>
        <v>E175</v>
      </c>
      <c r="D1486" s="1480" t="s">
        <v>1365</v>
      </c>
      <c r="E1486" s="867" t="s">
        <v>1806</v>
      </c>
      <c r="F1486" s="1480"/>
      <c r="G1486" s="1480"/>
      <c r="H1486" s="1480"/>
      <c r="I1486" s="1427" t="str">
        <f t="shared" si="233"/>
        <v>Offer this Incentive?</v>
      </c>
      <c r="J1486" s="1480" t="str">
        <f>$Q$1&amp;T1486</f>
        <v>F1021</v>
      </c>
      <c r="K1486" s="1480" t="str">
        <f t="shared" si="232"/>
        <v>Incentives</v>
      </c>
      <c r="L1486" s="1480"/>
      <c r="M1486" s="1480"/>
      <c r="N1486" s="1480"/>
      <c r="O1486" s="1477" t="s">
        <v>1826</v>
      </c>
      <c r="P1486" s="1477"/>
      <c r="Q1486" s="1427" t="str">
        <f>IFERROR(_xlfn.CONCAT("C",('Configurable Tab'!$C18+1)),"")</f>
        <v>C175</v>
      </c>
      <c r="R1486" s="1480" t="s">
        <v>1144</v>
      </c>
      <c r="S1486" s="1477"/>
      <c r="T1486" s="1480">
        <f>IF(Q$1038="Yes",M1038,"")</f>
        <v>1021</v>
      </c>
      <c r="U1486" s="1477"/>
      <c r="V1486" s="1477"/>
      <c r="W1486" s="1477"/>
      <c r="X1486" s="1477"/>
      <c r="Y1486" s="1477"/>
      <c r="Z1486" s="1477"/>
    </row>
    <row r="1487" spans="1:26" hidden="1" x14ac:dyDescent="0.25">
      <c r="A1487" s="1182" t="s">
        <v>1399</v>
      </c>
      <c r="B1487" s="1427" t="str">
        <f>IFERROR(_xlfn.CONCAT("D",('Configurable Tab'!$C$18+2)),"")</f>
        <v>D176</v>
      </c>
      <c r="C1487" s="1427" t="str">
        <f>IFERROR(_xlfn.CONCAT("E",('Configurable Tab'!$C$18+2)),"")</f>
        <v>E176</v>
      </c>
      <c r="D1487" s="1480" t="s">
        <v>1365</v>
      </c>
      <c r="E1487" s="867" t="s">
        <v>1806</v>
      </c>
      <c r="F1487" s="1480"/>
      <c r="G1487" s="1480"/>
      <c r="H1487" s="1480"/>
      <c r="I1487" s="1427" t="str">
        <f t="shared" si="233"/>
        <v>Incentive Type</v>
      </c>
      <c r="J1487" s="1480" t="str">
        <f t="shared" ref="J1487:J1494" si="235">$Q$1&amp;T1487</f>
        <v>F1022</v>
      </c>
      <c r="K1487" s="1480" t="str">
        <f t="shared" si="232"/>
        <v>Incentives</v>
      </c>
      <c r="L1487" s="1480"/>
      <c r="M1487" s="1480"/>
      <c r="N1487" s="1480"/>
      <c r="O1487" s="1477"/>
      <c r="P1487" s="1477"/>
      <c r="Q1487" s="1477"/>
      <c r="R1487" s="1480" t="s">
        <v>1144</v>
      </c>
      <c r="S1487" s="1477"/>
      <c r="T1487" s="1480">
        <f>IF(Q$1038="Yes",M1039,"")</f>
        <v>1022</v>
      </c>
      <c r="U1487" s="1477"/>
      <c r="V1487" s="1477"/>
      <c r="W1487" s="1477"/>
      <c r="X1487" s="1477"/>
      <c r="Y1487" s="1477"/>
      <c r="Z1487" s="1477"/>
    </row>
    <row r="1488" spans="1:26" hidden="1" x14ac:dyDescent="0.25">
      <c r="A1488" s="1182" t="s">
        <v>1401</v>
      </c>
      <c r="B1488" s="1427" t="str">
        <f>IFERROR(_xlfn.CONCAT("D",('Configurable Tab'!$C$18+4)),"")</f>
        <v>D178</v>
      </c>
      <c r="C1488" s="1427" t="str">
        <f>IFERROR(_xlfn.CONCAT("E",('Configurable Tab'!$C$18+4)),"")</f>
        <v>E178</v>
      </c>
      <c r="D1488" s="1480" t="s">
        <v>1365</v>
      </c>
      <c r="E1488" s="867" t="s">
        <v>1806</v>
      </c>
      <c r="F1488" s="1480"/>
      <c r="G1488" s="1480"/>
      <c r="H1488" s="1480"/>
      <c r="I1488" s="1427" t="str">
        <f t="shared" si="233"/>
        <v>Incentive Effective Date</v>
      </c>
      <c r="J1488" s="1480" t="str">
        <f t="shared" si="235"/>
        <v>F1029</v>
      </c>
      <c r="K1488" s="1480" t="str">
        <f t="shared" si="232"/>
        <v>Incentives</v>
      </c>
      <c r="L1488" s="1480"/>
      <c r="M1488" s="1480"/>
      <c r="N1488" s="1480"/>
      <c r="O1488" s="1477"/>
      <c r="P1488" s="1477"/>
      <c r="Q1488" s="1477"/>
      <c r="R1488" s="1480" t="s">
        <v>1144</v>
      </c>
      <c r="S1488" s="1477"/>
      <c r="T1488" s="1480">
        <f>IF(Q$1038="Yes",M1046,"")</f>
        <v>1029</v>
      </c>
      <c r="U1488" s="1477"/>
      <c r="V1488" s="1477"/>
      <c r="W1488" s="1477"/>
      <c r="X1488" s="1477"/>
      <c r="Y1488" s="1477"/>
      <c r="Z1488" s="1477"/>
    </row>
    <row r="1489" spans="1:26" hidden="1" x14ac:dyDescent="0.25">
      <c r="A1489" s="1182" t="s">
        <v>1402</v>
      </c>
      <c r="B1489" s="1427" t="str">
        <f>IFERROR(_xlfn.CONCAT("D",('Configurable Tab'!$C$18+5)),"")</f>
        <v>D179</v>
      </c>
      <c r="C1489" s="1427" t="str">
        <f>IFERROR(_xlfn.CONCAT("E",('Configurable Tab'!$C$18+5)),"")</f>
        <v>E179</v>
      </c>
      <c r="D1489" s="1480" t="s">
        <v>1365</v>
      </c>
      <c r="E1489" s="867" t="s">
        <v>1806</v>
      </c>
      <c r="F1489" s="1480"/>
      <c r="G1489" s="1480"/>
      <c r="H1489" s="1480"/>
      <c r="I1489" s="1427" t="str">
        <f t="shared" si="233"/>
        <v>Incentive Expiration Date</v>
      </c>
      <c r="J1489" s="1480" t="str">
        <f t="shared" si="235"/>
        <v>F1030</v>
      </c>
      <c r="K1489" s="1480" t="str">
        <f t="shared" si="232"/>
        <v>Incentives</v>
      </c>
      <c r="L1489" s="1480"/>
      <c r="M1489" s="1480"/>
      <c r="N1489" s="1480"/>
      <c r="O1489" s="1477"/>
      <c r="P1489" s="1477"/>
      <c r="Q1489" s="1477"/>
      <c r="R1489" s="1480" t="s">
        <v>1144</v>
      </c>
      <c r="S1489" s="1477"/>
      <c r="T1489" s="1480">
        <f>IF(Q$1038="Yes",M1047,"")</f>
        <v>1030</v>
      </c>
      <c r="U1489" s="1477"/>
      <c r="V1489" s="1477"/>
      <c r="W1489" s="1477"/>
      <c r="X1489" s="1477"/>
      <c r="Y1489" s="1477"/>
      <c r="Z1489" s="1477"/>
    </row>
    <row r="1490" spans="1:26" hidden="1" x14ac:dyDescent="0.25">
      <c r="A1490" s="1182" t="s">
        <v>1396</v>
      </c>
      <c r="B1490" s="1427" t="str">
        <f>IFERROR(_xlfn.CONCAT("G",('Configurable Tab'!$C$18+1)),"")</f>
        <v>G175</v>
      </c>
      <c r="C1490" s="1427" t="str">
        <f>IFERROR(_xlfn.CONCAT("G",('Configurable Tab'!$C$18+2)),"")</f>
        <v>G176</v>
      </c>
      <c r="D1490" s="1480" t="s">
        <v>1365</v>
      </c>
      <c r="E1490" s="867" t="s">
        <v>1806</v>
      </c>
      <c r="F1490" s="1480"/>
      <c r="G1490" s="1480"/>
      <c r="H1490" s="1480"/>
      <c r="I1490" s="1427" t="str">
        <f t="shared" si="233"/>
        <v>Incentive Period</v>
      </c>
      <c r="J1490" s="1480" t="str">
        <f t="shared" si="235"/>
        <v>F1205</v>
      </c>
      <c r="K1490" s="1480" t="str">
        <f t="shared" si="232"/>
        <v>Incentives</v>
      </c>
      <c r="L1490" s="1480"/>
      <c r="M1490" s="1480"/>
      <c r="N1490" s="1480"/>
      <c r="O1490" s="1477"/>
      <c r="P1490" s="1477"/>
      <c r="Q1490" s="1477"/>
      <c r="R1490" s="1480" t="s">
        <v>1144</v>
      </c>
      <c r="S1490" s="1477"/>
      <c r="T1490" s="1480">
        <f>IF(Q$1038="Yes",M1812,"")</f>
        <v>1205</v>
      </c>
      <c r="U1490" s="1477"/>
      <c r="V1490" s="1477"/>
      <c r="W1490" s="1477"/>
      <c r="X1490" s="1477"/>
      <c r="Y1490" s="1477"/>
      <c r="Z1490" s="1477"/>
    </row>
    <row r="1491" spans="1:26" hidden="1" x14ac:dyDescent="0.25">
      <c r="A1491" s="1182" t="s">
        <v>1397</v>
      </c>
      <c r="B1491" s="1427" t="str">
        <f>IFERROR(_xlfn.CONCAT("I",('Configurable Tab'!$C$18+1)),"")</f>
        <v>I175</v>
      </c>
      <c r="C1491" s="1427" t="str">
        <f>IFERROR(_xlfn.CONCAT("I",('Configurable Tab'!$C$18+2)),"")</f>
        <v>I176</v>
      </c>
      <c r="D1491" s="1480" t="s">
        <v>1365</v>
      </c>
      <c r="E1491" s="867" t="s">
        <v>1806</v>
      </c>
      <c r="F1491" s="1480"/>
      <c r="G1491" s="1480"/>
      <c r="H1491" s="1480"/>
      <c r="I1491" s="1427" t="str">
        <f t="shared" si="233"/>
        <v>Payment Method</v>
      </c>
      <c r="J1491" s="1480" t="str">
        <f t="shared" si="235"/>
        <v>F1023</v>
      </c>
      <c r="K1491" s="1480" t="str">
        <f t="shared" si="232"/>
        <v>Incentives</v>
      </c>
      <c r="L1491" s="1480"/>
      <c r="M1491" s="1480"/>
      <c r="N1491" s="1480"/>
      <c r="O1491" s="1477"/>
      <c r="P1491" s="1477"/>
      <c r="Q1491" s="1477"/>
      <c r="R1491" s="1480" t="s">
        <v>1144</v>
      </c>
      <c r="S1491" s="1477"/>
      <c r="T1491" s="1480">
        <f>IF(Q$1038="Yes",M1040,"")</f>
        <v>1023</v>
      </c>
      <c r="U1491" s="1477"/>
      <c r="V1491" s="1477"/>
      <c r="W1491" s="1477"/>
      <c r="X1491" s="1477"/>
      <c r="Y1491" s="1477"/>
      <c r="Z1491" s="1477"/>
    </row>
    <row r="1492" spans="1:26" hidden="1" x14ac:dyDescent="0.25">
      <c r="A1492" s="1182" t="s">
        <v>839</v>
      </c>
      <c r="B1492" s="1427" t="str">
        <f>IFERROR(_xlfn.CONCAT("K",('Configurable Tab'!$C$18+1)),"")</f>
        <v>K175</v>
      </c>
      <c r="C1492" s="1427" t="str">
        <f>IFERROR(_xlfn.CONCAT("K",('Configurable Tab'!$C$18+2)),"")</f>
        <v>K176</v>
      </c>
      <c r="D1492" s="1480" t="s">
        <v>1365</v>
      </c>
      <c r="E1492" s="867" t="s">
        <v>1806</v>
      </c>
      <c r="F1492" s="1480"/>
      <c r="G1492" s="1480"/>
      <c r="H1492" s="1480"/>
      <c r="I1492" s="1427" t="str">
        <f t="shared" si="233"/>
        <v>Paid to:</v>
      </c>
      <c r="J1492" s="1480" t="str">
        <f t="shared" si="235"/>
        <v>F1024</v>
      </c>
      <c r="K1492" s="1480" t="str">
        <f t="shared" si="232"/>
        <v>Incentives</v>
      </c>
      <c r="L1492" s="1480"/>
      <c r="M1492" s="1480"/>
      <c r="N1492" s="1480"/>
      <c r="O1492" s="1477"/>
      <c r="P1492" s="1477"/>
      <c r="Q1492" s="1477"/>
      <c r="R1492" s="1480" t="s">
        <v>1144</v>
      </c>
      <c r="S1492" s="1477"/>
      <c r="T1492" s="1480">
        <f>IF(Q$1038="Yes",M1041,"")</f>
        <v>1024</v>
      </c>
      <c r="U1492" s="1477"/>
      <c r="V1492" s="1477"/>
      <c r="W1492" s="1477"/>
      <c r="X1492" s="1477"/>
      <c r="Y1492" s="1477"/>
      <c r="Z1492" s="1477"/>
    </row>
    <row r="1493" spans="1:26" hidden="1" x14ac:dyDescent="0.25">
      <c r="A1493" s="1182" t="s">
        <v>1398</v>
      </c>
      <c r="B1493" s="1427" t="str">
        <f>IFERROR(_xlfn.CONCAT("M",('Configurable Tab'!$C$18+1)),"")</f>
        <v>M175</v>
      </c>
      <c r="C1493" s="1427" t="str">
        <f>IFERROR(_xlfn.CONCAT("M",('Configurable Tab'!$C$18+2)),"")</f>
        <v>M176</v>
      </c>
      <c r="D1493" s="1480" t="s">
        <v>1365</v>
      </c>
      <c r="E1493" s="867" t="s">
        <v>1806</v>
      </c>
      <c r="F1493" s="1480"/>
      <c r="G1493" s="1480"/>
      <c r="H1493" s="1480"/>
      <c r="I1493" s="1427" t="str">
        <f t="shared" si="233"/>
        <v>AP/AR Vendor Number</v>
      </c>
      <c r="J1493" s="1480" t="str">
        <f t="shared" si="235"/>
        <v>F1025</v>
      </c>
      <c r="K1493" s="1480" t="str">
        <f t="shared" si="232"/>
        <v>Incentives</v>
      </c>
      <c r="L1493" s="1480"/>
      <c r="M1493" s="1480"/>
      <c r="N1493" s="1480"/>
      <c r="O1493" s="1477"/>
      <c r="P1493" s="1477"/>
      <c r="Q1493" s="1477"/>
      <c r="R1493" s="1480" t="s">
        <v>1144</v>
      </c>
      <c r="S1493" s="1477"/>
      <c r="T1493" s="1480">
        <f>IF(Q$1038="Yes",M1042,"")</f>
        <v>1025</v>
      </c>
      <c r="U1493" s="1477"/>
      <c r="V1493" s="1477"/>
      <c r="W1493" s="1477"/>
      <c r="X1493" s="1477"/>
      <c r="Y1493" s="1477"/>
      <c r="Z1493" s="1477"/>
    </row>
    <row r="1494" spans="1:26" hidden="1" x14ac:dyDescent="0.25">
      <c r="A1494" s="1182" t="s">
        <v>1405</v>
      </c>
      <c r="B1494" s="1427" t="str">
        <f>IFERROR(_xlfn.CONCAT("K",('Configurable Tab'!$C$18+4)),"")</f>
        <v>K178</v>
      </c>
      <c r="C1494" s="1427" t="str">
        <f>IFERROR(_xlfn.CONCAT("K",('Configurable Tab'!$C$18+5)),"")</f>
        <v>K179</v>
      </c>
      <c r="D1494" s="1480" t="s">
        <v>1365</v>
      </c>
      <c r="E1494" s="867" t="s">
        <v>1806</v>
      </c>
      <c r="F1494" s="1480"/>
      <c r="G1494" s="1480"/>
      <c r="H1494" s="1480"/>
      <c r="I1494" s="1427" t="str">
        <f t="shared" si="233"/>
        <v>Rate % of Sales</v>
      </c>
      <c r="J1494" s="1480" t="str">
        <f t="shared" si="235"/>
        <v>F1033</v>
      </c>
      <c r="K1494" s="1480" t="str">
        <f t="shared" si="232"/>
        <v>Incentives</v>
      </c>
      <c r="L1494" s="1480"/>
      <c r="M1494" s="1480"/>
      <c r="N1494" s="1480"/>
      <c r="O1494" s="1477"/>
      <c r="P1494" s="1477"/>
      <c r="Q1494" s="1477"/>
      <c r="R1494" s="1480" t="s">
        <v>1144</v>
      </c>
      <c r="S1494" s="1477"/>
      <c r="T1494" s="1480">
        <f>IF(Q$1038="Yes",M1050,"")</f>
        <v>1033</v>
      </c>
      <c r="U1494" s="1477"/>
      <c r="V1494" s="1477"/>
      <c r="W1494" s="1477"/>
      <c r="X1494" s="1477"/>
      <c r="Y1494" s="1477"/>
      <c r="Z1494" s="1477"/>
    </row>
    <row r="1495" spans="1:26" hidden="1" x14ac:dyDescent="0.25">
      <c r="A1495" s="1192" t="s">
        <v>526</v>
      </c>
      <c r="B1495" s="1427" t="str">
        <f>IFERROR(_xlfn.CONCAT("D",('Configurable Tab'!$C$19+1)),"")</f>
        <v>D183</v>
      </c>
      <c r="C1495" s="1427" t="str">
        <f>IFERROR(_xlfn.CONCAT("E",('Configurable Tab'!$C$19+1)),"")</f>
        <v>E183</v>
      </c>
      <c r="D1495" s="1480" t="s">
        <v>1365</v>
      </c>
      <c r="E1495" s="867" t="s">
        <v>1806</v>
      </c>
      <c r="F1495" s="1480"/>
      <c r="G1495" s="1480"/>
      <c r="H1495" s="1480"/>
      <c r="I1495" s="1427" t="str">
        <f t="shared" si="233"/>
        <v>Offer this Incentive?</v>
      </c>
      <c r="J1495" s="1480" t="str">
        <f>$Q$1&amp;IF($Q$1052="Yes",T1495,IF($Q$1069="Yes",V1495,""))</f>
        <v>F1035</v>
      </c>
      <c r="K1495" s="1480" t="str">
        <f t="shared" si="232"/>
        <v>Incentives</v>
      </c>
      <c r="L1495" s="1480"/>
      <c r="M1495" s="1480"/>
      <c r="N1495" s="1480"/>
      <c r="O1495" s="1477" t="s">
        <v>1719</v>
      </c>
      <c r="P1495" s="1477"/>
      <c r="Q1495" s="1427" t="str">
        <f>IFERROR(_xlfn.CONCAT("C",('Configurable Tab'!$C19+1)),"")</f>
        <v>C183</v>
      </c>
      <c r="R1495" s="1480" t="s">
        <v>1719</v>
      </c>
      <c r="S1495" s="1480" t="s">
        <v>1141</v>
      </c>
      <c r="T1495" s="1480">
        <f>IF(Q$1052="Yes",M1052,"")</f>
        <v>1035</v>
      </c>
      <c r="U1495" s="1480" t="s">
        <v>1827</v>
      </c>
      <c r="V1495" s="1480" t="str">
        <f>IF(Q1069="Yes",M1069,"")</f>
        <v/>
      </c>
      <c r="W1495" s="1477"/>
      <c r="X1495" s="1477"/>
      <c r="Y1495" s="1477"/>
      <c r="Z1495" s="1477"/>
    </row>
    <row r="1496" spans="1:26" hidden="1" x14ac:dyDescent="0.25">
      <c r="A1496" s="866" t="s">
        <v>1399</v>
      </c>
      <c r="B1496" s="1427" t="str">
        <f>IFERROR(_xlfn.CONCAT("D",('Configurable Tab'!$C$19+2)),"")</f>
        <v>D184</v>
      </c>
      <c r="C1496" s="1427" t="str">
        <f>IFERROR(_xlfn.CONCAT("E",('Configurable Tab'!$C$19+2)),"")</f>
        <v>E184</v>
      </c>
      <c r="D1496" s="1480" t="s">
        <v>1365</v>
      </c>
      <c r="E1496" s="867" t="s">
        <v>1806</v>
      </c>
      <c r="F1496" s="1480"/>
      <c r="G1496" s="1480"/>
      <c r="H1496" s="1480"/>
      <c r="I1496" s="1427" t="str">
        <f t="shared" si="233"/>
        <v>Incentive Type</v>
      </c>
      <c r="J1496" s="1480" t="str">
        <f t="shared" ref="J1496:J1509" si="236">$Q$1&amp;IF($Q$1052="Yes",T1496,IF($Q$1069="Yes",V1496,""))</f>
        <v>F1036</v>
      </c>
      <c r="K1496" s="1480" t="str">
        <f t="shared" si="232"/>
        <v>Incentives</v>
      </c>
      <c r="L1496" s="1480"/>
      <c r="M1496" s="1480"/>
      <c r="N1496" s="1480"/>
      <c r="O1496" s="1477"/>
      <c r="P1496" s="1477"/>
      <c r="Q1496" s="1477"/>
      <c r="R1496" s="1480" t="s">
        <v>1719</v>
      </c>
      <c r="S1496" s="1480" t="s">
        <v>1141</v>
      </c>
      <c r="T1496" s="1480">
        <f>IF(Q$1052="Yes",M1053,"")</f>
        <v>1036</v>
      </c>
      <c r="U1496" s="1480" t="s">
        <v>1827</v>
      </c>
      <c r="V1496" s="1480" t="str">
        <f>IF(Q1070="Yes",M1070,"")</f>
        <v/>
      </c>
      <c r="W1496" s="1477"/>
      <c r="X1496" s="1477"/>
      <c r="Y1496" s="1477"/>
      <c r="Z1496" s="1477"/>
    </row>
    <row r="1497" spans="1:26" hidden="1" x14ac:dyDescent="0.25">
      <c r="A1497" s="866" t="s">
        <v>1401</v>
      </c>
      <c r="B1497" s="1427" t="str">
        <f>IFERROR(_xlfn.CONCAT("D",('Configurable Tab'!$C$19+4)),"")</f>
        <v>D186</v>
      </c>
      <c r="C1497" s="1427" t="str">
        <f>IFERROR(_xlfn.CONCAT("E",('Configurable Tab'!$C$19+4)),"")</f>
        <v>E186</v>
      </c>
      <c r="D1497" s="1480" t="s">
        <v>1365</v>
      </c>
      <c r="E1497" s="867" t="s">
        <v>1806</v>
      </c>
      <c r="F1497" s="1480"/>
      <c r="G1497" s="1480"/>
      <c r="H1497" s="1480"/>
      <c r="I1497" s="1427" t="str">
        <f t="shared" si="233"/>
        <v>Incentive Effective Date</v>
      </c>
      <c r="J1497" s="1480" t="str">
        <f t="shared" si="236"/>
        <v>F1039</v>
      </c>
      <c r="K1497" s="1480" t="str">
        <f t="shared" si="232"/>
        <v>Incentives</v>
      </c>
      <c r="L1497" s="1480"/>
      <c r="M1497" s="1480"/>
      <c r="N1497" s="1480"/>
      <c r="O1497" s="1477"/>
      <c r="P1497" s="1477"/>
      <c r="Q1497" s="1477"/>
      <c r="R1497" s="1480" t="s">
        <v>1719</v>
      </c>
      <c r="S1497" s="1480" t="s">
        <v>1141</v>
      </c>
      <c r="T1497" s="1480">
        <f>IF(Q$1052="Yes",M1056,"")</f>
        <v>1039</v>
      </c>
      <c r="U1497" s="1480" t="s">
        <v>1827</v>
      </c>
      <c r="V1497" s="1480" t="str">
        <f>IF(Q1071="Yes",M1073,"")</f>
        <v/>
      </c>
      <c r="W1497" s="1477"/>
      <c r="X1497" s="1477"/>
      <c r="Y1497" s="1477"/>
      <c r="Z1497" s="1477"/>
    </row>
    <row r="1498" spans="1:26" hidden="1" x14ac:dyDescent="0.25">
      <c r="A1498" s="866" t="s">
        <v>1402</v>
      </c>
      <c r="B1498" s="1427" t="str">
        <f>IFERROR(_xlfn.CONCAT("D",('Configurable Tab'!$C$19+5)),"")</f>
        <v>D187</v>
      </c>
      <c r="C1498" s="1427" t="str">
        <f>IFERROR(_xlfn.CONCAT("E",('Configurable Tab'!$C$19+5)),"")</f>
        <v>E187</v>
      </c>
      <c r="D1498" s="1480" t="s">
        <v>1365</v>
      </c>
      <c r="E1498" s="867" t="s">
        <v>1806</v>
      </c>
      <c r="F1498" s="1480"/>
      <c r="G1498" s="1480"/>
      <c r="H1498" s="1480"/>
      <c r="I1498" s="1427" t="str">
        <f t="shared" si="233"/>
        <v>Incentive Expiration Date</v>
      </c>
      <c r="J1498" s="1480" t="str">
        <f t="shared" si="236"/>
        <v>F1040</v>
      </c>
      <c r="K1498" s="1480" t="str">
        <f t="shared" si="232"/>
        <v>Incentives</v>
      </c>
      <c r="L1498" s="1480"/>
      <c r="M1498" s="1480"/>
      <c r="N1498" s="1480"/>
      <c r="O1498" s="1477"/>
      <c r="P1498" s="1477"/>
      <c r="Q1498" s="1477"/>
      <c r="R1498" s="1480" t="s">
        <v>1719</v>
      </c>
      <c r="S1498" s="1480" t="s">
        <v>1141</v>
      </c>
      <c r="T1498" s="1480">
        <f>IF(Q$1052="Yes",M1057,"")</f>
        <v>1040</v>
      </c>
      <c r="U1498" s="1480" t="s">
        <v>1827</v>
      </c>
      <c r="V1498" s="1480" t="str">
        <f>IF(Q1072="Yes",M1074,"")</f>
        <v/>
      </c>
      <c r="W1498" s="1477"/>
      <c r="X1498" s="1477"/>
      <c r="Y1498" s="1477"/>
      <c r="Z1498" s="1477"/>
    </row>
    <row r="1499" spans="1:26" hidden="1" x14ac:dyDescent="0.25">
      <c r="A1499" s="866" t="s">
        <v>1397</v>
      </c>
      <c r="B1499" s="1427" t="str">
        <f>IFERROR(_xlfn.CONCAT("I",('Configurable Tab'!$C$19+1)),"")</f>
        <v>I183</v>
      </c>
      <c r="C1499" s="1427" t="str">
        <f>IFERROR(_xlfn.CONCAT("I",('Configurable Tab'!$C$19+2)),"")</f>
        <v>I184</v>
      </c>
      <c r="D1499" s="1480" t="s">
        <v>1365</v>
      </c>
      <c r="E1499" s="867" t="s">
        <v>1806</v>
      </c>
      <c r="F1499" s="1480"/>
      <c r="G1499" s="1480"/>
      <c r="H1499" s="1480"/>
      <c r="I1499" s="1427" t="str">
        <f t="shared" si="233"/>
        <v>Payment Method</v>
      </c>
      <c r="J1499" s="1480" t="str">
        <f t="shared" si="236"/>
        <v>F1206</v>
      </c>
      <c r="K1499" s="1480" t="str">
        <f t="shared" si="232"/>
        <v>Incentives</v>
      </c>
      <c r="L1499" s="1480"/>
      <c r="M1499" s="1480"/>
      <c r="N1499" s="1480"/>
      <c r="O1499" s="1477"/>
      <c r="P1499" s="1477"/>
      <c r="Q1499" s="1477"/>
      <c r="R1499" s="1480" t="s">
        <v>1719</v>
      </c>
      <c r="S1499" s="1480" t="s">
        <v>1141</v>
      </c>
      <c r="T1499" s="1480">
        <f>IF(Q$1052="Yes",M1902,"")</f>
        <v>1206</v>
      </c>
      <c r="U1499" s="1480" t="s">
        <v>1827</v>
      </c>
      <c r="V1499" s="1480" t="str">
        <f>IF(Q1073="Yes",M1902,"")</f>
        <v/>
      </c>
      <c r="W1499" s="1477"/>
      <c r="X1499" s="1477"/>
      <c r="Y1499" s="1477"/>
      <c r="Z1499" s="1477"/>
    </row>
    <row r="1500" spans="1:26" hidden="1" x14ac:dyDescent="0.25">
      <c r="A1500" s="866" t="s">
        <v>1398</v>
      </c>
      <c r="B1500" s="1427" t="str">
        <f>IFERROR(_xlfn.CONCAT("M",('Configurable Tab'!$C$19+1)),"")</f>
        <v>M183</v>
      </c>
      <c r="C1500" s="1427" t="str">
        <f>IFERROR(_xlfn.CONCAT("M",('Configurable Tab'!$C$19+2)),"")</f>
        <v>M184</v>
      </c>
      <c r="D1500" s="1480" t="s">
        <v>1365</v>
      </c>
      <c r="E1500" s="867" t="s">
        <v>1806</v>
      </c>
      <c r="F1500" s="1480"/>
      <c r="G1500" s="1480"/>
      <c r="H1500" s="1480"/>
      <c r="I1500" s="1427" t="str">
        <f t="shared" si="233"/>
        <v>AP/AR Vendor Number</v>
      </c>
      <c r="J1500" s="1480" t="str">
        <f t="shared" si="236"/>
        <v>F1038</v>
      </c>
      <c r="K1500" s="1480" t="str">
        <f t="shared" si="232"/>
        <v>Incentives</v>
      </c>
      <c r="L1500" s="1480"/>
      <c r="M1500" s="1480"/>
      <c r="N1500" s="1480"/>
      <c r="O1500" s="1477"/>
      <c r="P1500" s="1477"/>
      <c r="Q1500" s="1477"/>
      <c r="R1500" s="1480" t="s">
        <v>1719</v>
      </c>
      <c r="S1500" s="1480" t="s">
        <v>1141</v>
      </c>
      <c r="T1500" s="1480">
        <f>IF(Q$1052="Yes",M1055,"")</f>
        <v>1038</v>
      </c>
      <c r="U1500" s="1480" t="s">
        <v>1827</v>
      </c>
      <c r="V1500" s="1480" t="str">
        <f>IF(Q1074="Yes",M1072,"")</f>
        <v/>
      </c>
      <c r="W1500" s="1477"/>
      <c r="X1500" s="1477"/>
      <c r="Y1500" s="1477"/>
      <c r="Z1500" s="1477"/>
    </row>
    <row r="1501" spans="1:26" hidden="1" x14ac:dyDescent="0.25">
      <c r="A1501" s="866" t="s">
        <v>1412</v>
      </c>
      <c r="B1501" s="1427" t="str">
        <f>IFERROR(_xlfn.CONCAT("G",('Configurable Tab'!$C$19+4)),"")</f>
        <v>G186</v>
      </c>
      <c r="C1501" s="1427" t="str">
        <f>IFERROR(_xlfn.CONCAT("G",('Configurable Tab'!$C$19+5)),"")</f>
        <v>G187</v>
      </c>
      <c r="D1501" s="1480" t="s">
        <v>1365</v>
      </c>
      <c r="E1501" s="867" t="s">
        <v>1806</v>
      </c>
      <c r="F1501" s="1476"/>
      <c r="G1501" s="1180"/>
      <c r="H1501" s="1480"/>
      <c r="I1501" s="1427" t="str">
        <f t="shared" si="233"/>
        <v>FF Payment Amount</v>
      </c>
      <c r="J1501" s="1480" t="str">
        <f t="shared" si="236"/>
        <v>F1043</v>
      </c>
      <c r="K1501" s="1480" t="str">
        <f t="shared" si="232"/>
        <v>Incentives</v>
      </c>
      <c r="L1501" s="1480"/>
      <c r="M1501" s="1480"/>
      <c r="N1501" s="1480"/>
      <c r="O1501" s="1477"/>
      <c r="P1501" s="1477"/>
      <c r="Q1501" s="1477"/>
      <c r="R1501" s="1480" t="s">
        <v>1719</v>
      </c>
      <c r="S1501" s="1480" t="s">
        <v>1141</v>
      </c>
      <c r="T1501" s="1480">
        <f>IF(Q$1052="Yes",M1060,"")</f>
        <v>1043</v>
      </c>
      <c r="U1501" s="1480" t="s">
        <v>1827</v>
      </c>
      <c r="V1501" s="1480" t="str">
        <f ca="1">IF(Q1075="Yes",M1077,"")</f>
        <v/>
      </c>
      <c r="W1501" s="1477"/>
      <c r="X1501" s="1477"/>
      <c r="Y1501" s="1477"/>
      <c r="Z1501" s="1477"/>
    </row>
    <row r="1502" spans="1:26" hidden="1" x14ac:dyDescent="0.25">
      <c r="A1502" s="866" t="s">
        <v>1493</v>
      </c>
      <c r="B1502" s="1427" t="str">
        <f>IFERROR(_xlfn.CONCAT("I",('Configurable Tab'!$C$19+4)),"")</f>
        <v>I186</v>
      </c>
      <c r="C1502" s="1427" t="str">
        <f>IFERROR(_xlfn.CONCAT("I",('Configurable Tab'!$C$19+5)),"")</f>
        <v>I187</v>
      </c>
      <c r="D1502" s="1480" t="s">
        <v>1365</v>
      </c>
      <c r="E1502" s="867" t="s">
        <v>1806</v>
      </c>
      <c r="F1502" s="1476"/>
      <c r="G1502" s="1062"/>
      <c r="H1502" s="1480"/>
      <c r="I1502" s="1427" t="str">
        <f t="shared" si="233"/>
        <v>Unamortized Prepaid Amount</v>
      </c>
      <c r="J1502" s="1480" t="str">
        <f t="shared" si="236"/>
        <v>F1044</v>
      </c>
      <c r="K1502" s="1480" t="str">
        <f t="shared" si="232"/>
        <v>Incentives</v>
      </c>
      <c r="L1502" s="1480"/>
      <c r="M1502" s="1480"/>
      <c r="N1502" s="1480"/>
      <c r="O1502" s="1477"/>
      <c r="P1502" s="1477"/>
      <c r="Q1502" s="1477"/>
      <c r="R1502" s="1480" t="s">
        <v>1719</v>
      </c>
      <c r="S1502" s="1480" t="s">
        <v>1141</v>
      </c>
      <c r="T1502" s="1480">
        <f>IF(Q$1052="Yes",M1061,"")</f>
        <v>1044</v>
      </c>
      <c r="U1502" s="1480" t="s">
        <v>1827</v>
      </c>
      <c r="V1502" s="1480" t="str">
        <f>IF(Q1076="Yes",M1078,"")</f>
        <v/>
      </c>
      <c r="W1502" s="1477"/>
      <c r="X1502" s="1477"/>
      <c r="Y1502" s="1477"/>
      <c r="Z1502" s="1477"/>
    </row>
    <row r="1503" spans="1:26" hidden="1" x14ac:dyDescent="0.25">
      <c r="A1503" s="866" t="s">
        <v>1494</v>
      </c>
      <c r="B1503" s="1427" t="str">
        <f>IFERROR(_xlfn.CONCAT("K",('Configurable Tab'!$C$19+4)),"")</f>
        <v>K186</v>
      </c>
      <c r="C1503" s="1427" t="str">
        <f>IFERROR(_xlfn.CONCAT("K",('Configurable Tab'!$C$19+5)),"")</f>
        <v>K187</v>
      </c>
      <c r="D1503" s="1480" t="s">
        <v>1365</v>
      </c>
      <c r="E1503" s="867" t="s">
        <v>1806</v>
      </c>
      <c r="F1503" s="1062"/>
      <c r="G1503" s="1476"/>
      <c r="H1503" s="1480"/>
      <c r="I1503" s="1427" t="str">
        <f t="shared" si="233"/>
        <v>Net Prepaid Amount</v>
      </c>
      <c r="J1503" s="1480" t="str">
        <f t="shared" si="236"/>
        <v>F1045</v>
      </c>
      <c r="K1503" s="1480" t="str">
        <f t="shared" si="232"/>
        <v>Incentives</v>
      </c>
      <c r="L1503" s="1480"/>
      <c r="M1503" s="1480"/>
      <c r="N1503" s="1480"/>
      <c r="O1503" s="1477"/>
      <c r="P1503" s="1477"/>
      <c r="Q1503" s="1477"/>
      <c r="R1503" s="1480" t="s">
        <v>1719</v>
      </c>
      <c r="S1503" s="1480" t="s">
        <v>1141</v>
      </c>
      <c r="T1503" s="1480">
        <f>IF(Q$1052="Yes",M1062,"")</f>
        <v>1045</v>
      </c>
      <c r="U1503" s="1480" t="s">
        <v>1827</v>
      </c>
      <c r="V1503" s="1480"/>
      <c r="W1503" s="1477"/>
      <c r="X1503" s="1477"/>
      <c r="Y1503" s="1477"/>
      <c r="Z1503" s="1477"/>
    </row>
    <row r="1504" spans="1:26" hidden="1" x14ac:dyDescent="0.25">
      <c r="A1504" s="866" t="s">
        <v>1418</v>
      </c>
      <c r="B1504" s="1427" t="str">
        <f>IFERROR(_xlfn.CONCAT("M",('Configurable Tab'!$C$19+4)),"")</f>
        <v>M186</v>
      </c>
      <c r="C1504" s="1427" t="str">
        <f>IFERROR(_xlfn.CONCAT("M",('Configurable Tab'!$C$19+5)),"")</f>
        <v>M187</v>
      </c>
      <c r="D1504" s="1480" t="s">
        <v>1365</v>
      </c>
      <c r="E1504" s="867" t="s">
        <v>1806</v>
      </c>
      <c r="F1504" s="1062"/>
      <c r="G1504" s="1476"/>
      <c r="H1504" s="1480"/>
      <c r="I1504" s="1427" t="str">
        <f t="shared" si="233"/>
        <v>Agreement Classification</v>
      </c>
      <c r="J1504" s="1480" t="str">
        <f t="shared" si="236"/>
        <v>F1048</v>
      </c>
      <c r="K1504" s="1480" t="str">
        <f t="shared" si="232"/>
        <v>Incentives</v>
      </c>
      <c r="L1504" s="1480"/>
      <c r="M1504" s="1480"/>
      <c r="N1504" s="1480"/>
      <c r="O1504" s="1477"/>
      <c r="P1504" s="1477"/>
      <c r="Q1504" s="1477"/>
      <c r="R1504" s="1480" t="s">
        <v>1719</v>
      </c>
      <c r="S1504" s="1480" t="s">
        <v>1141</v>
      </c>
      <c r="T1504" s="1480">
        <f>IF(Q$1052="Yes",M1065,"")</f>
        <v>1048</v>
      </c>
      <c r="U1504" s="1480" t="s">
        <v>1827</v>
      </c>
      <c r="V1504" s="1480" t="str">
        <f>IF(Q1078="Yes",M1081,"")</f>
        <v/>
      </c>
      <c r="W1504" s="1477"/>
      <c r="X1504" s="1477"/>
      <c r="Y1504" s="1477"/>
      <c r="Z1504" s="1477"/>
    </row>
    <row r="1505" spans="1:26" hidden="1" x14ac:dyDescent="0.25">
      <c r="A1505" s="866" t="s">
        <v>1497</v>
      </c>
      <c r="B1505" s="1427" t="str">
        <f>IFERROR(_xlfn.CONCAT("G",('Configurable Tab'!$C$19+7)),"")</f>
        <v>G189</v>
      </c>
      <c r="C1505" s="1427" t="str">
        <f>IFERROR(_xlfn.CONCAT("G",('Configurable Tab'!$C$19+8)),"")</f>
        <v>G190</v>
      </c>
      <c r="D1505" s="1480" t="s">
        <v>1365</v>
      </c>
      <c r="E1505" s="867" t="s">
        <v>1806</v>
      </c>
      <c r="F1505" s="956"/>
      <c r="G1505" s="1180"/>
      <c r="H1505" s="1480"/>
      <c r="I1505" s="1427" t="str">
        <f t="shared" si="233"/>
        <v>Previous Agreement ID</v>
      </c>
      <c r="J1505" s="1480" t="str">
        <f t="shared" si="236"/>
        <v>F1206</v>
      </c>
      <c r="K1505" s="1480" t="str">
        <f t="shared" si="232"/>
        <v>Incentives</v>
      </c>
      <c r="L1505" s="1480"/>
      <c r="M1505" s="1480"/>
      <c r="N1505" s="1480"/>
      <c r="O1505" s="1477"/>
      <c r="P1505" s="1477"/>
      <c r="Q1505" s="1477"/>
      <c r="R1505" s="1480" t="s">
        <v>1719</v>
      </c>
      <c r="S1505" s="1480" t="s">
        <v>1141</v>
      </c>
      <c r="T1505" s="1480">
        <f>IF(Q$1052="Yes",M1902,"")</f>
        <v>1206</v>
      </c>
      <c r="U1505" s="1480" t="s">
        <v>1827</v>
      </c>
      <c r="V1505" s="1480" t="str">
        <f>IF(Q1069="Yes",M1907,"")</f>
        <v/>
      </c>
      <c r="W1505" s="1477"/>
      <c r="X1505" s="1477"/>
      <c r="Y1505" s="1477"/>
      <c r="Z1505" s="1477"/>
    </row>
    <row r="1506" spans="1:26" ht="30" hidden="1" x14ac:dyDescent="0.25">
      <c r="A1506" s="866" t="s">
        <v>1498</v>
      </c>
      <c r="B1506" s="1427" t="str">
        <f>IFERROR(_xlfn.CONCAT("I",('Configurable Tab'!$C$19+7)),"")</f>
        <v>I189</v>
      </c>
      <c r="C1506" s="1427" t="str">
        <f>IFERROR(_xlfn.CONCAT("I",('Configurable Tab'!$C$19+8)),"")</f>
        <v>I190</v>
      </c>
      <c r="D1506" s="1480" t="s">
        <v>1365</v>
      </c>
      <c r="E1506" s="867" t="s">
        <v>1806</v>
      </c>
      <c r="F1506" s="52"/>
      <c r="G1506" s="52"/>
      <c r="H1506" s="1480"/>
      <c r="I1506" s="1427" t="str">
        <f t="shared" si="233"/>
        <v>Previous Agreement Incentive Reference Number</v>
      </c>
      <c r="J1506" s="1480" t="str">
        <f t="shared" si="236"/>
        <v>F1046</v>
      </c>
      <c r="K1506" s="1480" t="str">
        <f t="shared" si="232"/>
        <v>Incentives</v>
      </c>
      <c r="L1506" s="1480"/>
      <c r="M1506" s="1480"/>
      <c r="N1506" s="1480"/>
      <c r="O1506" s="1477"/>
      <c r="P1506" s="1477"/>
      <c r="Q1506" s="1477"/>
      <c r="R1506" s="1480" t="s">
        <v>1719</v>
      </c>
      <c r="S1506" s="1480" t="s">
        <v>1141</v>
      </c>
      <c r="T1506" s="1480">
        <f>IF(Q$1052="Yes",M1063,"")</f>
        <v>1046</v>
      </c>
      <c r="U1506" s="1480" t="s">
        <v>1827</v>
      </c>
      <c r="V1506" s="1480" t="str">
        <f>IF(Q1080="Yes",M1079,"")</f>
        <v/>
      </c>
      <c r="W1506" s="1477"/>
      <c r="X1506" s="1477"/>
      <c r="Y1506" s="1477"/>
      <c r="Z1506" s="1477"/>
    </row>
    <row r="1507" spans="1:26" hidden="1" x14ac:dyDescent="0.25">
      <c r="A1507" s="866" t="s">
        <v>1143</v>
      </c>
      <c r="B1507" s="1427" t="str">
        <f>IFERROR(_xlfn.CONCAT("K",('Configurable Tab'!$C$19+7)),"")</f>
        <v>K189</v>
      </c>
      <c r="C1507" s="1427" t="str">
        <f>IFERROR(_xlfn.CONCAT("K",('Configurable Tab'!$C$19+8)),"")</f>
        <v>K190</v>
      </c>
      <c r="D1507" s="1480" t="s">
        <v>1365</v>
      </c>
      <c r="E1507" s="867" t="s">
        <v>1806</v>
      </c>
      <c r="F1507" s="1480"/>
      <c r="G1507" s="1480"/>
      <c r="H1507" s="1480"/>
      <c r="I1507" s="1427" t="str">
        <f t="shared" si="233"/>
        <v>Previous Agreement Effective Date</v>
      </c>
      <c r="J1507" s="1480" t="str">
        <f t="shared" si="236"/>
        <v>F1047</v>
      </c>
      <c r="K1507" s="1480" t="str">
        <f t="shared" si="232"/>
        <v>Incentives</v>
      </c>
      <c r="L1507" s="1480"/>
      <c r="M1507" s="1480"/>
      <c r="N1507" s="1480"/>
      <c r="O1507" s="1477"/>
      <c r="P1507" s="1477"/>
      <c r="Q1507" s="1477"/>
      <c r="R1507" s="1480" t="s">
        <v>1719</v>
      </c>
      <c r="S1507" s="1480" t="s">
        <v>1141</v>
      </c>
      <c r="T1507" s="1480">
        <f>IF(Q$1052="Yes",M1064,"")</f>
        <v>1047</v>
      </c>
      <c r="U1507" s="1480" t="s">
        <v>1827</v>
      </c>
      <c r="V1507" s="1480" t="str">
        <f>IF(Q1081="Yes",M1080,"")</f>
        <v/>
      </c>
      <c r="W1507" s="1477"/>
      <c r="X1507" s="1477"/>
      <c r="Y1507" s="1477"/>
      <c r="Z1507" s="1477"/>
    </row>
    <row r="1508" spans="1:26" hidden="1" x14ac:dyDescent="0.25">
      <c r="A1508" s="866" t="s">
        <v>1499</v>
      </c>
      <c r="B1508" s="1427" t="str">
        <f>IFERROR(_xlfn.CONCAT("M",('Configurable Tab'!$C$19+7)),"")</f>
        <v>M189</v>
      </c>
      <c r="C1508" s="1427" t="str">
        <f>IFERROR(_xlfn.CONCAT("M",('Configurable Tab'!$C$19+8)),"")</f>
        <v>M190</v>
      </c>
      <c r="D1508" s="1480" t="s">
        <v>1365</v>
      </c>
      <c r="E1508" s="867" t="s">
        <v>1806</v>
      </c>
      <c r="F1508" s="1480"/>
      <c r="G1508" s="1480"/>
      <c r="H1508" s="1480"/>
      <c r="I1508" s="1427" t="str">
        <f t="shared" si="233"/>
        <v>Previous Agreement Expiration Date</v>
      </c>
      <c r="J1508" s="1480" t="str">
        <f t="shared" si="236"/>
        <v>F1049</v>
      </c>
      <c r="K1508" s="1480" t="str">
        <f t="shared" si="232"/>
        <v>Incentives</v>
      </c>
      <c r="L1508" s="1480"/>
      <c r="M1508" s="1480"/>
      <c r="N1508" s="1480"/>
      <c r="O1508" s="1477"/>
      <c r="P1508" s="1477"/>
      <c r="Q1508" s="1477"/>
      <c r="R1508" s="1480" t="s">
        <v>1719</v>
      </c>
      <c r="S1508" s="1480" t="s">
        <v>1141</v>
      </c>
      <c r="T1508" s="1480">
        <f>IF(Q$1052="Yes",M1066,"")</f>
        <v>1049</v>
      </c>
      <c r="U1508" s="1480" t="s">
        <v>1827</v>
      </c>
      <c r="V1508" s="1480" t="str">
        <f>IF(Q1082="Yes",M1082,"")</f>
        <v/>
      </c>
      <c r="W1508" s="1477"/>
      <c r="X1508" s="1477"/>
      <c r="Y1508" s="1477"/>
      <c r="Z1508" s="1477"/>
    </row>
    <row r="1509" spans="1:26" hidden="1" x14ac:dyDescent="0.25">
      <c r="A1509" s="866" t="s">
        <v>1142</v>
      </c>
      <c r="B1509" s="1427" t="str">
        <f>IFERROR(_xlfn.CONCAT("O",('Configurable Tab'!$C$19+7)),"")</f>
        <v>O189</v>
      </c>
      <c r="C1509" s="1427" t="str">
        <f>IFERROR(_xlfn.CONCAT("O",('Configurable Tab'!$C$19+8)),"")</f>
        <v>O190</v>
      </c>
      <c r="D1509" s="1480" t="s">
        <v>1365</v>
      </c>
      <c r="E1509" s="867" t="s">
        <v>1806</v>
      </c>
      <c r="F1509" s="1480"/>
      <c r="G1509" s="1480"/>
      <c r="H1509" s="1480"/>
      <c r="I1509" s="1427" t="str">
        <f t="shared" si="233"/>
        <v>Previous Prepaid Amount</v>
      </c>
      <c r="J1509" s="1480" t="str">
        <f t="shared" si="236"/>
        <v>F1050</v>
      </c>
      <c r="K1509" s="1480" t="str">
        <f t="shared" si="232"/>
        <v>Incentives</v>
      </c>
      <c r="L1509" s="1480"/>
      <c r="M1509" s="1480"/>
      <c r="N1509" s="1480"/>
      <c r="O1509" s="1477"/>
      <c r="P1509" s="1477"/>
      <c r="Q1509" s="1477"/>
      <c r="R1509" s="1480" t="s">
        <v>1719</v>
      </c>
      <c r="S1509" s="1480" t="s">
        <v>1141</v>
      </c>
      <c r="T1509" s="1480">
        <f>IF(Q$1052="Yes",M1067,"")</f>
        <v>1050</v>
      </c>
      <c r="U1509" s="1480" t="s">
        <v>1827</v>
      </c>
      <c r="V1509" s="1480" t="str">
        <f>IF(Q1083="Yes",M1083,"")</f>
        <v/>
      </c>
      <c r="W1509" s="1477"/>
      <c r="X1509" s="1477"/>
      <c r="Y1509" s="1477"/>
      <c r="Z1509" s="1477"/>
    </row>
    <row r="1510" spans="1:26" hidden="1" x14ac:dyDescent="0.25">
      <c r="A1510" s="1187" t="s">
        <v>526</v>
      </c>
      <c r="B1510" s="1427" t="str">
        <f>IFERROR(_xlfn.CONCAT("D",('Configurable Tab'!$C$20+1)),"")</f>
        <v>D194</v>
      </c>
      <c r="C1510" s="1427" t="str">
        <f>IFERROR(_xlfn.CONCAT("E",('Configurable Tab'!$C$20+1)),"")</f>
        <v>E194</v>
      </c>
      <c r="D1510" s="1480" t="s">
        <v>1365</v>
      </c>
      <c r="E1510" s="867" t="s">
        <v>1806</v>
      </c>
      <c r="F1510" s="1480"/>
      <c r="G1510" s="1480"/>
      <c r="H1510" s="1480"/>
      <c r="I1510" s="1427" t="str">
        <f t="shared" si="233"/>
        <v>Offer this Incentive?</v>
      </c>
      <c r="J1510" s="1480" t="str">
        <f>$Q$1&amp;IF(T$1510&lt;&gt;0,U1510,IF(T$1529&lt;&gt;0,U1529,IF(X$1510&lt;&gt;0,Y1510,"")))</f>
        <v>F1088</v>
      </c>
      <c r="K1510" s="1480" t="str">
        <f t="shared" si="232"/>
        <v>Incentives</v>
      </c>
      <c r="L1510" s="1480"/>
      <c r="M1510" s="1480"/>
      <c r="N1510" s="1480"/>
      <c r="O1510" s="1477" t="s">
        <v>1828</v>
      </c>
      <c r="P1510" s="1477"/>
      <c r="Q1510" s="1427" t="str">
        <f>IFERROR(_xlfn.CONCAT("C",('Configurable Tab'!$C20+1)),"")</f>
        <v>C194</v>
      </c>
      <c r="R1510" s="1478" t="s">
        <v>1107</v>
      </c>
      <c r="S1510" s="1480" t="s">
        <v>1633</v>
      </c>
      <c r="T1510" s="1480">
        <f>IF(Q$1085="Yes",IF(Q$1095="Yes",2,1),0)</f>
        <v>0</v>
      </c>
      <c r="U1510" s="1480" t="str">
        <f>IF(Q$1085="Yes",M1085,"")</f>
        <v/>
      </c>
      <c r="V1510" s="1480" t="str">
        <f>IF(Q$1095="Yes",M1095,"")</f>
        <v/>
      </c>
      <c r="W1510" s="1480" t="s">
        <v>1636</v>
      </c>
      <c r="X1510" s="1480">
        <f>IF(Q$1105="Yes",IF(Q$1134="Yes",2,1),0)</f>
        <v>1</v>
      </c>
      <c r="Y1510" s="1480">
        <f>IF(Q$1105="Yes",M1105,"")</f>
        <v>1088</v>
      </c>
      <c r="Z1510" s="1480" t="str">
        <f>IF(Q$1134="Yes",M1134,"")</f>
        <v/>
      </c>
    </row>
    <row r="1511" spans="1:26" hidden="1" x14ac:dyDescent="0.25">
      <c r="A1511" s="1188" t="s">
        <v>1399</v>
      </c>
      <c r="B1511" s="1427" t="str">
        <f>IFERROR(_xlfn.CONCAT("D",('Configurable Tab'!$C$20+2)),"")</f>
        <v>D195</v>
      </c>
      <c r="C1511" s="1427" t="str">
        <f>IFERROR(_xlfn.CONCAT("E",('Configurable Tab'!$C$20+2)),"")</f>
        <v>E195</v>
      </c>
      <c r="D1511" s="1480" t="s">
        <v>1365</v>
      </c>
      <c r="E1511" s="867" t="s">
        <v>1806</v>
      </c>
      <c r="F1511" s="1480"/>
      <c r="G1511" s="1480"/>
      <c r="H1511" s="1480"/>
      <c r="I1511" s="1427" t="str">
        <f t="shared" si="233"/>
        <v>Incentive Type</v>
      </c>
      <c r="J1511" s="1480" t="str">
        <f t="shared" ref="J1511:J1528" si="237">$Q$1&amp;IF(T$1510&lt;&gt;0,U1511,IF(T$1529&lt;&gt;0,U1530,IF(X$1510&lt;&gt;0,Y1511,"")))</f>
        <v>F1089</v>
      </c>
      <c r="K1511" s="1480" t="str">
        <f t="shared" si="232"/>
        <v>Incentives</v>
      </c>
      <c r="L1511" s="1480"/>
      <c r="M1511" s="1480"/>
      <c r="N1511" s="1480"/>
      <c r="O1511" s="1477"/>
      <c r="P1511" s="1477"/>
      <c r="Q1511" s="1477"/>
      <c r="R1511" s="1480" t="s">
        <v>1107</v>
      </c>
      <c r="S1511" s="1480" t="s">
        <v>1633</v>
      </c>
      <c r="T1511" s="1477"/>
      <c r="U1511" s="1480" t="str">
        <f>IF(Q$1085="Yes",M1086,"")</f>
        <v/>
      </c>
      <c r="V1511" s="1480" t="str">
        <f>IF(Q$1095="Yes",M1096,"")</f>
        <v/>
      </c>
      <c r="W1511" s="1480" t="s">
        <v>1636</v>
      </c>
      <c r="X1511" s="1477"/>
      <c r="Y1511" s="1480">
        <f>IF(Q$1105="Yes",M1106,"")</f>
        <v>1089</v>
      </c>
      <c r="Z1511" s="1480" t="str">
        <f>IF(Q$1134="Yes",M1135,"")</f>
        <v/>
      </c>
    </row>
    <row r="1512" spans="1:26" hidden="1" x14ac:dyDescent="0.25">
      <c r="A1512" s="1188" t="s">
        <v>1401</v>
      </c>
      <c r="B1512" s="1427" t="str">
        <f>IFERROR(_xlfn.CONCAT("D",('Configurable Tab'!$C$20+4)),"")</f>
        <v>D197</v>
      </c>
      <c r="C1512" s="1427" t="str">
        <f>IFERROR(_xlfn.CONCAT("E",('Configurable Tab'!$C$20+4)),"")</f>
        <v>E197</v>
      </c>
      <c r="D1512" s="1480" t="s">
        <v>1365</v>
      </c>
      <c r="E1512" s="867" t="s">
        <v>1806</v>
      </c>
      <c r="F1512" s="1480"/>
      <c r="G1512" s="1480"/>
      <c r="H1512" s="1480"/>
      <c r="I1512" s="1427" t="str">
        <f t="shared" si="233"/>
        <v>Incentive Effective Date</v>
      </c>
      <c r="J1512" s="1480" t="str">
        <f t="shared" si="237"/>
        <v>F1095</v>
      </c>
      <c r="K1512" s="1480" t="str">
        <f t="shared" si="232"/>
        <v>Incentives</v>
      </c>
      <c r="L1512" s="1480"/>
      <c r="M1512" s="1480"/>
      <c r="N1512" s="1480"/>
      <c r="O1512" s="1477"/>
      <c r="P1512" s="1477"/>
      <c r="Q1512" s="1477"/>
      <c r="R1512" s="1480" t="s">
        <v>1107</v>
      </c>
      <c r="S1512" s="1480" t="s">
        <v>1633</v>
      </c>
      <c r="T1512" s="1477"/>
      <c r="U1512" s="1480" t="str">
        <f>IF(Q$1085="Yes",M1089,"")</f>
        <v/>
      </c>
      <c r="V1512" s="1480" t="str">
        <f>IF(Q$1095="Yes",M1099,"")</f>
        <v/>
      </c>
      <c r="W1512" s="1480" t="s">
        <v>1636</v>
      </c>
      <c r="X1512" s="1477"/>
      <c r="Y1512" s="1480">
        <f>IF(Q$1105="Yes",M1112,"")</f>
        <v>1095</v>
      </c>
      <c r="Z1512" s="1480" t="str">
        <f>IF(Q$1134="Yes",M1141,"")</f>
        <v/>
      </c>
    </row>
    <row r="1513" spans="1:26" hidden="1" x14ac:dyDescent="0.25">
      <c r="A1513" s="1188" t="s">
        <v>1402</v>
      </c>
      <c r="B1513" s="1427" t="str">
        <f>IFERROR(_xlfn.CONCAT("D",('Configurable Tab'!$C$20+5)),"")</f>
        <v>D198</v>
      </c>
      <c r="C1513" s="1427" t="str">
        <f>IFERROR(_xlfn.CONCAT("E",('Configurable Tab'!$C$20+5)),"")</f>
        <v>E198</v>
      </c>
      <c r="D1513" s="1480" t="s">
        <v>1365</v>
      </c>
      <c r="E1513" s="867" t="s">
        <v>1806</v>
      </c>
      <c r="F1513" s="1480"/>
      <c r="G1513" s="1480"/>
      <c r="H1513" s="1480"/>
      <c r="I1513" s="1427" t="str">
        <f t="shared" si="233"/>
        <v>Incentive Expiration Date</v>
      </c>
      <c r="J1513" s="1480" t="str">
        <f t="shared" si="237"/>
        <v>F1096</v>
      </c>
      <c r="K1513" s="1480" t="str">
        <f t="shared" si="232"/>
        <v>Incentives</v>
      </c>
      <c r="L1513" s="1480"/>
      <c r="M1513" s="1480"/>
      <c r="N1513" s="1480"/>
      <c r="O1513" s="1477"/>
      <c r="P1513" s="1477"/>
      <c r="Q1513" s="1477"/>
      <c r="R1513" s="1480" t="s">
        <v>1107</v>
      </c>
      <c r="S1513" s="1480" t="s">
        <v>1633</v>
      </c>
      <c r="T1513" s="1477"/>
      <c r="U1513" s="1480" t="str">
        <f>IF(Q$1085="Yes",M1090,"")</f>
        <v/>
      </c>
      <c r="V1513" s="1480" t="str">
        <f>IF(Q$1095="Yes",M1100,"")</f>
        <v/>
      </c>
      <c r="W1513" s="1480" t="s">
        <v>1636</v>
      </c>
      <c r="X1513" s="1477"/>
      <c r="Y1513" s="1480">
        <f>IF(Q$1105="Yes",M1113,"")</f>
        <v>1096</v>
      </c>
      <c r="Z1513" s="1480" t="str">
        <f>IF(Q$1134="Yes",M1142,"")</f>
        <v/>
      </c>
    </row>
    <row r="1514" spans="1:26" hidden="1" x14ac:dyDescent="0.25">
      <c r="A1514" s="1188" t="s">
        <v>1396</v>
      </c>
      <c r="B1514" s="1427" t="str">
        <f>IFERROR(_xlfn.CONCAT("G",('Configurable Tab'!$C$20+1)),"")</f>
        <v>G194</v>
      </c>
      <c r="C1514" s="1427" t="str">
        <f>IFERROR(_xlfn.CONCAT("G",('Configurable Tab'!$C$20+2)),"")</f>
        <v>G195</v>
      </c>
      <c r="D1514" s="1480" t="s">
        <v>1365</v>
      </c>
      <c r="E1514" s="867" t="s">
        <v>1806</v>
      </c>
      <c r="F1514" s="1480"/>
      <c r="G1514" s="1480"/>
      <c r="H1514" s="1480"/>
      <c r="I1514" s="1427" t="str">
        <f t="shared" si="233"/>
        <v>Incentive Period</v>
      </c>
      <c r="J1514" s="1480" t="str">
        <f t="shared" si="237"/>
        <v>F1090</v>
      </c>
      <c r="K1514" s="1480" t="str">
        <f t="shared" si="232"/>
        <v>Incentives</v>
      </c>
      <c r="L1514" s="1480"/>
      <c r="M1514" s="1480"/>
      <c r="N1514" s="1480"/>
      <c r="O1514" s="1477"/>
      <c r="P1514" s="1477"/>
      <c r="Q1514" s="1477"/>
      <c r="R1514" s="1480" t="s">
        <v>1107</v>
      </c>
      <c r="S1514" s="1477"/>
      <c r="T1514" s="1477"/>
      <c r="U1514" s="1477"/>
      <c r="V1514" s="1477"/>
      <c r="W1514" s="1480" t="s">
        <v>1636</v>
      </c>
      <c r="X1514" s="1477"/>
      <c r="Y1514" s="1480">
        <f>IF(Q$1105="Yes",M1107,"")</f>
        <v>1090</v>
      </c>
      <c r="Z1514" s="1480" t="str">
        <f>IF(Q$1134="Yes",M1136,"")</f>
        <v/>
      </c>
    </row>
    <row r="1515" spans="1:26" hidden="1" x14ac:dyDescent="0.25">
      <c r="A1515" s="1188" t="s">
        <v>1397</v>
      </c>
      <c r="B1515" s="1427" t="str">
        <f>IFERROR(_xlfn.CONCAT("I",('Configurable Tab'!$C$20+1)),"")</f>
        <v>I194</v>
      </c>
      <c r="C1515" s="1427" t="str">
        <f>IFERROR(_xlfn.CONCAT("I",('Configurable Tab'!$C$20+2)),"")</f>
        <v>I195</v>
      </c>
      <c r="D1515" s="1480" t="s">
        <v>1365</v>
      </c>
      <c r="E1515" s="867" t="s">
        <v>1806</v>
      </c>
      <c r="F1515" s="1480"/>
      <c r="G1515" s="1480"/>
      <c r="H1515" s="1480"/>
      <c r="I1515" s="1427" t="str">
        <f t="shared" si="233"/>
        <v>Payment Method</v>
      </c>
      <c r="J1515" s="1480" t="str">
        <f t="shared" si="237"/>
        <v>F1091</v>
      </c>
      <c r="K1515" s="1480" t="str">
        <f t="shared" si="232"/>
        <v>Incentives</v>
      </c>
      <c r="L1515" s="1480"/>
      <c r="M1515" s="1480"/>
      <c r="N1515" s="1480"/>
      <c r="O1515" s="1477"/>
      <c r="P1515" s="1477"/>
      <c r="Q1515" s="1477"/>
      <c r="R1515" s="1480" t="s">
        <v>1107</v>
      </c>
      <c r="S1515" s="1480" t="s">
        <v>1633</v>
      </c>
      <c r="T1515" s="1477"/>
      <c r="U1515" s="1480" t="str">
        <f>IF(Q$1085="Yes",M1087,"")</f>
        <v/>
      </c>
      <c r="V1515" s="1480" t="str">
        <f>IF(Q$1095="Yes",M1097,"")</f>
        <v/>
      </c>
      <c r="W1515" s="1480" t="s">
        <v>1636</v>
      </c>
      <c r="X1515" s="1477"/>
      <c r="Y1515" s="1480">
        <f>IF(Q$1105="Yes",M1108,"")</f>
        <v>1091</v>
      </c>
      <c r="Z1515" s="1480" t="str">
        <f>IF(Q$1134="Yes",M1137,"")</f>
        <v/>
      </c>
    </row>
    <row r="1516" spans="1:26" hidden="1" x14ac:dyDescent="0.25">
      <c r="A1516" s="1188" t="s">
        <v>1398</v>
      </c>
      <c r="B1516" s="1427" t="str">
        <f>IFERROR(_xlfn.CONCAT("M",('Configurable Tab'!$C$20+1)),"")</f>
        <v>M194</v>
      </c>
      <c r="C1516" s="1427" t="str">
        <f>IFERROR(_xlfn.CONCAT("M",('Configurable Tab'!$C$20+2)),"")</f>
        <v>M195</v>
      </c>
      <c r="D1516" s="1480" t="s">
        <v>1365</v>
      </c>
      <c r="E1516" s="867" t="s">
        <v>1806</v>
      </c>
      <c r="F1516" s="1480"/>
      <c r="G1516" s="1480"/>
      <c r="H1516" s="1480"/>
      <c r="I1516" s="1427" t="str">
        <f t="shared" si="233"/>
        <v>AP/AR Vendor Number</v>
      </c>
      <c r="J1516" s="1480" t="str">
        <f t="shared" si="237"/>
        <v>F1092</v>
      </c>
      <c r="K1516" s="1480" t="str">
        <f t="shared" si="232"/>
        <v>Incentives</v>
      </c>
      <c r="L1516" s="1480"/>
      <c r="M1516" s="1480"/>
      <c r="N1516" s="1480"/>
      <c r="O1516" s="1477"/>
      <c r="P1516" s="1477"/>
      <c r="Q1516" s="1477"/>
      <c r="R1516" s="1480" t="s">
        <v>1107</v>
      </c>
      <c r="S1516" s="1480" t="s">
        <v>1633</v>
      </c>
      <c r="T1516" s="1477"/>
      <c r="U1516" s="1480" t="str">
        <f>IF(Q$1085="Yes",M1088,"")</f>
        <v/>
      </c>
      <c r="V1516" s="1480" t="str">
        <f>IF(Q$1095="Yes",M1098,"")</f>
        <v/>
      </c>
      <c r="W1516" s="1480" t="s">
        <v>1636</v>
      </c>
      <c r="X1516" s="1477"/>
      <c r="Y1516" s="1480">
        <f>IF(Q$1105="Yes",M1109,"")</f>
        <v>1092</v>
      </c>
      <c r="Z1516" s="1480" t="str">
        <f>IF(Q$1134="Yes",M1138,"")</f>
        <v/>
      </c>
    </row>
    <row r="1517" spans="1:26" hidden="1" x14ac:dyDescent="0.25">
      <c r="A1517" s="1188" t="s">
        <v>1412</v>
      </c>
      <c r="B1517" s="1427" t="str">
        <f>IFERROR(_xlfn.CONCAT("G",('Configurable Tab'!$C$20+4)),"")</f>
        <v>G197</v>
      </c>
      <c r="C1517" s="1427" t="str">
        <f>IFERROR(_xlfn.CONCAT("G",('Configurable Tab'!$C$20+5)),"")</f>
        <v>G198</v>
      </c>
      <c r="D1517" s="1480" t="s">
        <v>1365</v>
      </c>
      <c r="E1517" s="867" t="s">
        <v>1806</v>
      </c>
      <c r="F1517" s="1476"/>
      <c r="G1517" s="1180"/>
      <c r="H1517" s="1480"/>
      <c r="I1517" s="1427" t="str">
        <f t="shared" si="233"/>
        <v>FF Payment Amount</v>
      </c>
      <c r="J1517" s="1480" t="str">
        <f t="shared" si="237"/>
        <v>F1100</v>
      </c>
      <c r="K1517" s="1480" t="str">
        <f t="shared" si="232"/>
        <v>Incentives</v>
      </c>
      <c r="L1517" s="1480"/>
      <c r="M1517" s="1480"/>
      <c r="N1517" s="1480"/>
      <c r="O1517" s="1477"/>
      <c r="P1517" s="1477"/>
      <c r="Q1517" s="1477"/>
      <c r="R1517" s="1480" t="s">
        <v>1107</v>
      </c>
      <c r="S1517" s="1480" t="s">
        <v>1633</v>
      </c>
      <c r="T1517" s="1477"/>
      <c r="U1517" s="1480" t="str">
        <f>IF(Q$1085="Yes",M1093,"")</f>
        <v/>
      </c>
      <c r="V1517" s="1480" t="str">
        <f>IF(Q$1095="Yes",M1103,"")</f>
        <v/>
      </c>
      <c r="W1517" s="1480" t="s">
        <v>1636</v>
      </c>
      <c r="X1517" s="1477"/>
      <c r="Y1517" s="1480">
        <f>IF(Q$1105="Yes",M1117,"")</f>
        <v>1100</v>
      </c>
      <c r="Z1517" s="1480" t="str">
        <f>IF(Q$1134="Yes",M1146,"")</f>
        <v/>
      </c>
    </row>
    <row r="1518" spans="1:26" hidden="1" x14ac:dyDescent="0.25">
      <c r="A1518" s="1188" t="s">
        <v>1405</v>
      </c>
      <c r="B1518" s="1427" t="str">
        <f>IFERROR(_xlfn.CONCAT("G",('Configurable Tab'!$C$20+7)),"")</f>
        <v>G200</v>
      </c>
      <c r="C1518" s="1427" t="str">
        <f>IFERROR(_xlfn.CONCAT("G",('Configurable Tab'!$C$20+8)),"")</f>
        <v>G201</v>
      </c>
      <c r="D1518" s="1480" t="s">
        <v>1365</v>
      </c>
      <c r="E1518" s="867" t="s">
        <v>1806</v>
      </c>
      <c r="F1518" s="1480"/>
      <c r="G1518" s="1480"/>
      <c r="H1518" s="1480"/>
      <c r="I1518" s="1427" t="str">
        <f t="shared" si="233"/>
        <v>Rate % of Sales</v>
      </c>
      <c r="J1518" s="1480" t="str">
        <f t="shared" si="237"/>
        <v>F</v>
      </c>
      <c r="K1518" s="1480" t="str">
        <f t="shared" si="232"/>
        <v>Incentives</v>
      </c>
      <c r="L1518" s="1480"/>
      <c r="M1518" s="1480"/>
      <c r="N1518" s="1480"/>
      <c r="O1518" s="1477"/>
      <c r="P1518" s="1477"/>
      <c r="Q1518" s="1477"/>
      <c r="R1518" s="1480" t="s">
        <v>1107</v>
      </c>
      <c r="S1518" s="1477"/>
      <c r="T1518" s="1477"/>
      <c r="U1518" s="1477"/>
      <c r="V1518" s="1477"/>
      <c r="W1518" s="1477"/>
      <c r="X1518" s="1477"/>
      <c r="Y1518" s="1477"/>
      <c r="Z1518" s="1477"/>
    </row>
    <row r="1519" spans="1:26" hidden="1" x14ac:dyDescent="0.25">
      <c r="A1519" s="1188" t="s">
        <v>730</v>
      </c>
      <c r="B1519" s="1427" t="str">
        <f>IFERROR(_xlfn.CONCAT("K",('Configurable Tab'!$C$20+4)),"")</f>
        <v>K197</v>
      </c>
      <c r="C1519" s="1427" t="str">
        <f>IFERROR(_xlfn.CONCAT("K",('Configurable Tab'!$C$20+5)),"")</f>
        <v>K198</v>
      </c>
      <c r="D1519" s="1480" t="s">
        <v>1365</v>
      </c>
      <c r="E1519" s="867" t="s">
        <v>1806</v>
      </c>
      <c r="F1519" s="1480"/>
      <c r="G1519" s="1480"/>
      <c r="H1519" s="1480"/>
      <c r="I1519" s="1427" t="str">
        <f t="shared" si="233"/>
        <v>Payment Amount</v>
      </c>
      <c r="J1519" s="1480" t="str">
        <f t="shared" si="237"/>
        <v>F1102</v>
      </c>
      <c r="K1519" s="1480" t="str">
        <f t="shared" si="232"/>
        <v>Incentives</v>
      </c>
      <c r="L1519" s="1480"/>
      <c r="M1519" s="1480"/>
      <c r="N1519" s="1480"/>
      <c r="O1519" s="1477"/>
      <c r="P1519" s="1477"/>
      <c r="Q1519" s="1477"/>
      <c r="R1519" s="1480" t="s">
        <v>1107</v>
      </c>
      <c r="S1519" s="1477"/>
      <c r="T1519" s="1477"/>
      <c r="U1519" s="1477"/>
      <c r="V1519" s="1477"/>
      <c r="W1519" s="1480" t="s">
        <v>1636</v>
      </c>
      <c r="X1519" s="1477"/>
      <c r="Y1519" s="1480">
        <f>IF(Q$1105="Yes",M1119,"")</f>
        <v>1102</v>
      </c>
      <c r="Z1519" s="1480" t="str">
        <f>IF(Q$1134="Yes",M1148,"")</f>
        <v/>
      </c>
    </row>
    <row r="1520" spans="1:26" hidden="1" x14ac:dyDescent="0.25">
      <c r="A1520" s="1188" t="s">
        <v>730</v>
      </c>
      <c r="B1520" s="1427" t="str">
        <f>IFERROR(_xlfn.CONCAT("K",('Configurable Tab'!$C$20+4)),"")</f>
        <v>K197</v>
      </c>
      <c r="C1520" s="1427" t="str">
        <f>IFERROR(_xlfn.CONCAT("K",('Configurable Tab'!$C$20+6)),"")</f>
        <v>K199</v>
      </c>
      <c r="D1520" s="1480" t="s">
        <v>1365</v>
      </c>
      <c r="E1520" s="867" t="s">
        <v>1806</v>
      </c>
      <c r="F1520" s="1480"/>
      <c r="G1520" s="1480"/>
      <c r="H1520" s="1480"/>
      <c r="I1520" s="1427" t="str">
        <f t="shared" si="233"/>
        <v>Payment Amount</v>
      </c>
      <c r="J1520" s="1480" t="str">
        <f t="shared" si="237"/>
        <v>F1105</v>
      </c>
      <c r="K1520" s="1480" t="str">
        <f t="shared" si="232"/>
        <v>Incentives</v>
      </c>
      <c r="L1520" s="1480"/>
      <c r="M1520" s="1480"/>
      <c r="N1520" s="1480"/>
      <c r="O1520" s="1477"/>
      <c r="P1520" s="1477"/>
      <c r="Q1520" s="1477"/>
      <c r="R1520" s="1480" t="s">
        <v>1107</v>
      </c>
      <c r="S1520" s="1477"/>
      <c r="T1520" s="1477"/>
      <c r="U1520" s="1477"/>
      <c r="V1520" s="1477"/>
      <c r="W1520" s="1480" t="s">
        <v>1636</v>
      </c>
      <c r="X1520" s="1477"/>
      <c r="Y1520" s="1480">
        <f>IF(Q$1105="Yes",M1122,"")</f>
        <v>1105</v>
      </c>
      <c r="Z1520" s="1480" t="str">
        <f>IF(Q$1134="Yes",M1151,"")</f>
        <v/>
      </c>
    </row>
    <row r="1521" spans="1:26" hidden="1" x14ac:dyDescent="0.25">
      <c r="A1521" s="1188" t="s">
        <v>730</v>
      </c>
      <c r="B1521" s="1427" t="str">
        <f>IFERROR(_xlfn.CONCAT("K",('Configurable Tab'!$C$20+4)),"")</f>
        <v>K197</v>
      </c>
      <c r="C1521" s="1427" t="str">
        <f>IFERROR(_xlfn.CONCAT("K",('Configurable Tab'!$C$20+7)),"")</f>
        <v>K200</v>
      </c>
      <c r="D1521" s="1480" t="s">
        <v>1365</v>
      </c>
      <c r="E1521" s="867" t="s">
        <v>1806</v>
      </c>
      <c r="F1521" s="1480"/>
      <c r="G1521" s="1480"/>
      <c r="H1521" s="1480"/>
      <c r="I1521" s="1427" t="str">
        <f t="shared" si="233"/>
        <v>Payment Amount</v>
      </c>
      <c r="J1521" s="1480" t="str">
        <f t="shared" si="237"/>
        <v>F1108</v>
      </c>
      <c r="K1521" s="1480" t="str">
        <f t="shared" si="232"/>
        <v>Incentives</v>
      </c>
      <c r="L1521" s="1480"/>
      <c r="M1521" s="1480"/>
      <c r="N1521" s="1480"/>
      <c r="O1521" s="1477"/>
      <c r="P1521" s="1477"/>
      <c r="Q1521" s="1477"/>
      <c r="R1521" s="1480" t="s">
        <v>1107</v>
      </c>
      <c r="S1521" s="1477"/>
      <c r="T1521" s="1477"/>
      <c r="U1521" s="1477"/>
      <c r="V1521" s="1477"/>
      <c r="W1521" s="1480" t="s">
        <v>1636</v>
      </c>
      <c r="X1521" s="1477"/>
      <c r="Y1521" s="1480">
        <f>IF(Q$1105="Yes",M1125,"")</f>
        <v>1108</v>
      </c>
      <c r="Z1521" s="1480" t="str">
        <f>IF(Q$1134="Yes",M1154,"")</f>
        <v/>
      </c>
    </row>
    <row r="1522" spans="1:26" hidden="1" x14ac:dyDescent="0.25">
      <c r="A1522" s="1188" t="s">
        <v>730</v>
      </c>
      <c r="B1522" s="1427" t="str">
        <f>IFERROR(_xlfn.CONCAT("K",('Configurable Tab'!$C$20+4)),"")</f>
        <v>K197</v>
      </c>
      <c r="C1522" s="1427" t="str">
        <f>IFERROR(_xlfn.CONCAT("K",('Configurable Tab'!$C$20+8)),"")</f>
        <v>K201</v>
      </c>
      <c r="D1522" s="1480" t="s">
        <v>1365</v>
      </c>
      <c r="E1522" s="867" t="s">
        <v>1806</v>
      </c>
      <c r="F1522" s="1480"/>
      <c r="G1522" s="1480"/>
      <c r="H1522" s="1480"/>
      <c r="I1522" s="1427" t="str">
        <f t="shared" si="233"/>
        <v>Payment Amount</v>
      </c>
      <c r="J1522" s="1480" t="str">
        <f t="shared" si="237"/>
        <v>F1111</v>
      </c>
      <c r="K1522" s="1480" t="str">
        <f t="shared" si="232"/>
        <v>Incentives</v>
      </c>
      <c r="L1522" s="1480"/>
      <c r="M1522" s="1480"/>
      <c r="N1522" s="1480"/>
      <c r="O1522" s="1477"/>
      <c r="P1522" s="1477"/>
      <c r="Q1522" s="1477"/>
      <c r="R1522" s="1480" t="s">
        <v>1107</v>
      </c>
      <c r="S1522" s="1477"/>
      <c r="T1522" s="1477"/>
      <c r="U1522" s="1477"/>
      <c r="V1522" s="1477"/>
      <c r="W1522" s="1480" t="s">
        <v>1636</v>
      </c>
      <c r="X1522" s="1477"/>
      <c r="Y1522" s="1480">
        <f>IF(Q$1105="Yes",M1128,"")</f>
        <v>1111</v>
      </c>
      <c r="Z1522" s="1480" t="str">
        <f>IF(Q$1134="Yes",M1157,"")</f>
        <v/>
      </c>
    </row>
    <row r="1523" spans="1:26" hidden="1" x14ac:dyDescent="0.25">
      <c r="A1523" s="1188" t="s">
        <v>730</v>
      </c>
      <c r="B1523" s="1427" t="str">
        <f>IFERROR(_xlfn.CONCAT("K",('Configurable Tab'!$C$20+4)),"")</f>
        <v>K197</v>
      </c>
      <c r="C1523" s="1427" t="str">
        <f>IFERROR(_xlfn.CONCAT("K",('Configurable Tab'!$C$20+9)),"")</f>
        <v>K202</v>
      </c>
      <c r="D1523" s="1480" t="s">
        <v>1365</v>
      </c>
      <c r="E1523" s="867" t="s">
        <v>1806</v>
      </c>
      <c r="F1523" s="1480"/>
      <c r="G1523" s="1480"/>
      <c r="H1523" s="1480"/>
      <c r="I1523" s="1427" t="str">
        <f t="shared" si="233"/>
        <v>Payment Amount</v>
      </c>
      <c r="J1523" s="1480" t="str">
        <f t="shared" si="237"/>
        <v>F1114</v>
      </c>
      <c r="K1523" s="1480" t="str">
        <f t="shared" si="232"/>
        <v>Incentives</v>
      </c>
      <c r="L1523" s="1480"/>
      <c r="M1523" s="1480"/>
      <c r="N1523" s="1480"/>
      <c r="O1523" s="1477"/>
      <c r="P1523" s="1477"/>
      <c r="Q1523" s="1477"/>
      <c r="R1523" s="1480" t="s">
        <v>1107</v>
      </c>
      <c r="S1523" s="1477"/>
      <c r="T1523" s="1477"/>
      <c r="U1523" s="1477"/>
      <c r="V1523" s="1477"/>
      <c r="W1523" s="1480" t="s">
        <v>1636</v>
      </c>
      <c r="X1523" s="1477"/>
      <c r="Y1523" s="1480">
        <f>IF(Q$1105="Yes",M1131,"")</f>
        <v>1114</v>
      </c>
      <c r="Z1523" s="1480" t="str">
        <f>IF(Q$1134="Yes",M1160,"")</f>
        <v/>
      </c>
    </row>
    <row r="1524" spans="1:26" hidden="1" x14ac:dyDescent="0.25">
      <c r="A1524" s="1188" t="s">
        <v>1501</v>
      </c>
      <c r="B1524" s="1427" t="str">
        <f>IFERROR(_xlfn.CONCAT("M",('Configurable Tab'!$C$20+4)),"")</f>
        <v>M197</v>
      </c>
      <c r="C1524" s="1427" t="str">
        <f>IFERROR(_xlfn.CONCAT("M",('Configurable Tab'!$C$20+5)),"")</f>
        <v>M198</v>
      </c>
      <c r="D1524" s="1480" t="s">
        <v>1365</v>
      </c>
      <c r="E1524" s="867" t="s">
        <v>1806</v>
      </c>
      <c r="F1524" s="1480"/>
      <c r="G1524" s="1480"/>
      <c r="H1524" s="1480"/>
      <c r="I1524" s="1427" t="str">
        <f t="shared" si="233"/>
        <v>Purchase Commitment</v>
      </c>
      <c r="J1524" s="1480" t="str">
        <f t="shared" si="237"/>
        <v>F1103</v>
      </c>
      <c r="K1524" s="1480" t="str">
        <f t="shared" si="232"/>
        <v>Incentives</v>
      </c>
      <c r="L1524" s="1480"/>
      <c r="M1524" s="1480"/>
      <c r="N1524" s="1480"/>
      <c r="O1524" s="1477"/>
      <c r="P1524" s="1477"/>
      <c r="Q1524" s="1477"/>
      <c r="R1524" s="1480" t="s">
        <v>1107</v>
      </c>
      <c r="S1524" s="1477"/>
      <c r="T1524" s="1477"/>
      <c r="U1524" s="1477"/>
      <c r="V1524" s="1477"/>
      <c r="W1524" s="1480" t="s">
        <v>1636</v>
      </c>
      <c r="X1524" s="1477"/>
      <c r="Y1524" s="1480">
        <f>IF(Q$1105="Yes",M1120,"")</f>
        <v>1103</v>
      </c>
      <c r="Z1524" s="1480" t="str">
        <f>IF(Q$1134="Yes",M1149,"")</f>
        <v/>
      </c>
    </row>
    <row r="1525" spans="1:26" hidden="1" x14ac:dyDescent="0.25">
      <c r="A1525" s="1188" t="s">
        <v>1501</v>
      </c>
      <c r="B1525" s="1427" t="str">
        <f>IFERROR(_xlfn.CONCAT("M",('Configurable Tab'!$C$20+4)),"")</f>
        <v>M197</v>
      </c>
      <c r="C1525" s="1427" t="str">
        <f>IFERROR(_xlfn.CONCAT("M",('Configurable Tab'!$C$20+6)),"")</f>
        <v>M199</v>
      </c>
      <c r="D1525" s="1480" t="s">
        <v>1365</v>
      </c>
      <c r="E1525" s="867" t="s">
        <v>1806</v>
      </c>
      <c r="F1525" s="1480"/>
      <c r="G1525" s="1480"/>
      <c r="H1525" s="1480"/>
      <c r="I1525" s="1427" t="str">
        <f t="shared" si="233"/>
        <v>Purchase Commitment</v>
      </c>
      <c r="J1525" s="1480" t="str">
        <f t="shared" si="237"/>
        <v>F1106</v>
      </c>
      <c r="K1525" s="1480" t="str">
        <f t="shared" si="232"/>
        <v>Incentives</v>
      </c>
      <c r="L1525" s="1480"/>
      <c r="M1525" s="1480"/>
      <c r="N1525" s="1480"/>
      <c r="O1525" s="1477"/>
      <c r="P1525" s="1477"/>
      <c r="Q1525" s="1477"/>
      <c r="R1525" s="1480" t="s">
        <v>1107</v>
      </c>
      <c r="S1525" s="1477"/>
      <c r="T1525" s="1477"/>
      <c r="U1525" s="1477"/>
      <c r="V1525" s="1477"/>
      <c r="W1525" s="1480" t="s">
        <v>1636</v>
      </c>
      <c r="X1525" s="1477"/>
      <c r="Y1525" s="1480">
        <f>IF(Q$1105="Yes",M1123,"")</f>
        <v>1106</v>
      </c>
      <c r="Z1525" s="1480" t="str">
        <f>IF(Q$1134="Yes",M1152,"")</f>
        <v/>
      </c>
    </row>
    <row r="1526" spans="1:26" hidden="1" x14ac:dyDescent="0.25">
      <c r="A1526" s="1188" t="s">
        <v>1501</v>
      </c>
      <c r="B1526" s="1427" t="str">
        <f>IFERROR(_xlfn.CONCAT("M",('Configurable Tab'!$C$20+4)),"")</f>
        <v>M197</v>
      </c>
      <c r="C1526" s="1427" t="str">
        <f>IFERROR(_xlfn.CONCAT("M",('Configurable Tab'!$C$20+7)),"")</f>
        <v>M200</v>
      </c>
      <c r="D1526" s="1480" t="s">
        <v>1365</v>
      </c>
      <c r="E1526" s="867" t="s">
        <v>1806</v>
      </c>
      <c r="F1526" s="1480"/>
      <c r="G1526" s="1480"/>
      <c r="H1526" s="1480"/>
      <c r="I1526" s="1427" t="str">
        <f t="shared" si="233"/>
        <v>Purchase Commitment</v>
      </c>
      <c r="J1526" s="1480" t="str">
        <f t="shared" si="237"/>
        <v>F1109</v>
      </c>
      <c r="K1526" s="1480" t="str">
        <f t="shared" si="232"/>
        <v>Incentives</v>
      </c>
      <c r="L1526" s="1480"/>
      <c r="M1526" s="1480"/>
      <c r="N1526" s="1480"/>
      <c r="O1526" s="1477"/>
      <c r="P1526" s="1477"/>
      <c r="Q1526" s="1477"/>
      <c r="R1526" s="1480" t="s">
        <v>1107</v>
      </c>
      <c r="S1526" s="1477"/>
      <c r="T1526" s="1477"/>
      <c r="U1526" s="1477"/>
      <c r="V1526" s="1477"/>
      <c r="W1526" s="1480" t="s">
        <v>1636</v>
      </c>
      <c r="X1526" s="1477"/>
      <c r="Y1526" s="1480">
        <f>IF(Q$1105="Yes",M1126,"")</f>
        <v>1109</v>
      </c>
      <c r="Z1526" s="1480" t="str">
        <f>IF(Q$1134="Yes",M1155,"")</f>
        <v/>
      </c>
    </row>
    <row r="1527" spans="1:26" hidden="1" x14ac:dyDescent="0.25">
      <c r="A1527" s="1188" t="s">
        <v>1501</v>
      </c>
      <c r="B1527" s="1427" t="str">
        <f>IFERROR(_xlfn.CONCAT("M",('Configurable Tab'!$C$20+4)),"")</f>
        <v>M197</v>
      </c>
      <c r="C1527" s="1427" t="str">
        <f>IFERROR(_xlfn.CONCAT("M",('Configurable Tab'!$C$20+8)),"")</f>
        <v>M201</v>
      </c>
      <c r="D1527" s="1480" t="s">
        <v>1365</v>
      </c>
      <c r="E1527" s="867" t="s">
        <v>1806</v>
      </c>
      <c r="F1527" s="1480"/>
      <c r="G1527" s="1480"/>
      <c r="H1527" s="1480"/>
      <c r="I1527" s="1427" t="str">
        <f t="shared" si="233"/>
        <v>Purchase Commitment</v>
      </c>
      <c r="J1527" s="1480" t="str">
        <f t="shared" si="237"/>
        <v>F1112</v>
      </c>
      <c r="K1527" s="1480" t="str">
        <f t="shared" si="232"/>
        <v>Incentives</v>
      </c>
      <c r="L1527" s="1480"/>
      <c r="M1527" s="1480"/>
      <c r="N1527" s="1480"/>
      <c r="O1527" s="1477"/>
      <c r="P1527" s="1477"/>
      <c r="Q1527" s="1477"/>
      <c r="R1527" s="1480" t="s">
        <v>1107</v>
      </c>
      <c r="S1527" s="1477"/>
      <c r="T1527" s="1477"/>
      <c r="U1527" s="1477"/>
      <c r="V1527" s="1477"/>
      <c r="W1527" s="1480" t="s">
        <v>1636</v>
      </c>
      <c r="X1527" s="1477"/>
      <c r="Y1527" s="1480">
        <f>IF(Q$1105="Yes",M1129,"")</f>
        <v>1112</v>
      </c>
      <c r="Z1527" s="1480" t="str">
        <f>IF(Q$1134="Yes",M1158,"")</f>
        <v/>
      </c>
    </row>
    <row r="1528" spans="1:26" hidden="1" x14ac:dyDescent="0.25">
      <c r="A1528" s="1188" t="s">
        <v>1501</v>
      </c>
      <c r="B1528" s="1427" t="str">
        <f>IFERROR(_xlfn.CONCAT("M",('Configurable Tab'!$C$20+4)),"")</f>
        <v>M197</v>
      </c>
      <c r="C1528" s="1427" t="str">
        <f>IFERROR(_xlfn.CONCAT("M",('Configurable Tab'!$C$20+9)),"")</f>
        <v>M202</v>
      </c>
      <c r="D1528" s="1480" t="s">
        <v>1365</v>
      </c>
      <c r="E1528" s="867" t="s">
        <v>1806</v>
      </c>
      <c r="F1528" s="1480"/>
      <c r="G1528" s="1480"/>
      <c r="H1528" s="1480"/>
      <c r="I1528" s="1427" t="str">
        <f t="shared" si="233"/>
        <v>Purchase Commitment</v>
      </c>
      <c r="J1528" s="1480" t="str">
        <f t="shared" si="237"/>
        <v>F1115</v>
      </c>
      <c r="K1528" s="1480" t="str">
        <f t="shared" si="232"/>
        <v>Incentives</v>
      </c>
      <c r="L1528" s="1480"/>
      <c r="M1528" s="1480"/>
      <c r="N1528" s="1480"/>
      <c r="O1528" s="1477"/>
      <c r="P1528" s="1477"/>
      <c r="Q1528" s="1477"/>
      <c r="R1528" s="1480" t="s">
        <v>1107</v>
      </c>
      <c r="S1528" s="1477"/>
      <c r="T1528" s="1477"/>
      <c r="U1528" s="1477"/>
      <c r="V1528" s="1477"/>
      <c r="W1528" s="1480" t="s">
        <v>1636</v>
      </c>
      <c r="X1528" s="1477"/>
      <c r="Y1528" s="1480">
        <f>IF(Q$1105="Yes",M1132,"")</f>
        <v>1115</v>
      </c>
      <c r="Z1528" s="1480" t="str">
        <f>IF(Q$1134="Yes",M1161,"")</f>
        <v/>
      </c>
    </row>
    <row r="1529" spans="1:26" hidden="1" x14ac:dyDescent="0.25">
      <c r="A1529" s="1181" t="s">
        <v>526</v>
      </c>
      <c r="B1529" s="1427" t="str">
        <f>IFERROR(_xlfn.CONCAT("D",('Configurable Tab'!$C$21+1)),"")</f>
        <v>D206</v>
      </c>
      <c r="C1529" s="1427" t="str">
        <f>IFERROR(_xlfn.CONCAT("E",('Configurable Tab'!$C$21+1)),"")</f>
        <v>E206</v>
      </c>
      <c r="D1529" s="1480" t="s">
        <v>1365</v>
      </c>
      <c r="E1529" s="867" t="s">
        <v>1806</v>
      </c>
      <c r="F1529" s="1480"/>
      <c r="G1529" s="1480"/>
      <c r="H1529" s="1480"/>
      <c r="I1529" s="1427" t="str">
        <f t="shared" si="233"/>
        <v>Offer this Incentive?</v>
      </c>
      <c r="J1529" s="1480" t="str">
        <f>$Q$1&amp;IF(T$1510=2,V1510,IF(T$1510=1,IF(AND(T$1529=1,T$1529&lt;&gt;0),U1529,IF(AND(X$1510=1,X$1510&lt;&gt;0),Y1510,"")),IF(T$1529=2,V1529,IF(T$1529=1,IF(AND(X$1510=1,X$1510&lt;&gt;0),Y1510,""),IF(X$1510=2,Z1510,"")))))</f>
        <v>F</v>
      </c>
      <c r="K1529" s="1480" t="str">
        <f t="shared" si="232"/>
        <v>Incentives</v>
      </c>
      <c r="L1529" s="1480"/>
      <c r="M1529" s="1480"/>
      <c r="N1529" s="1480"/>
      <c r="O1529" s="1477" t="s">
        <v>1829</v>
      </c>
      <c r="P1529" s="1477"/>
      <c r="Q1529" s="1427" t="str">
        <f>IFERROR(_xlfn.CONCAT("C",('Configurable Tab'!$C21+1)),"")</f>
        <v>C206</v>
      </c>
      <c r="R1529" s="1480" t="s">
        <v>1107</v>
      </c>
      <c r="S1529" s="1481" t="s">
        <v>1830</v>
      </c>
      <c r="T1529" s="1480">
        <f>IF(Q$1163="Yes",IF(Q$1188="Yes",2,1),0)</f>
        <v>0</v>
      </c>
      <c r="U1529" s="1480" t="str">
        <f>IF(Q$1163="Yes",M1163,"")</f>
        <v/>
      </c>
      <c r="V1529" s="1480" t="str">
        <f>IF(Q$1188="Yes",M1188,"")</f>
        <v/>
      </c>
      <c r="W1529" s="1477"/>
      <c r="X1529" s="1477"/>
      <c r="Y1529" s="1477"/>
      <c r="Z1529" s="1477"/>
    </row>
    <row r="1530" spans="1:26" hidden="1" x14ac:dyDescent="0.25">
      <c r="A1530" s="1182" t="s">
        <v>1399</v>
      </c>
      <c r="B1530" s="1427" t="str">
        <f>IFERROR(_xlfn.CONCAT("D",('Configurable Tab'!$C$21+2)),"")</f>
        <v>D207</v>
      </c>
      <c r="C1530" s="1427" t="str">
        <f>IFERROR(_xlfn.CONCAT("E",('Configurable Tab'!$C$21+2)),"")</f>
        <v>E207</v>
      </c>
      <c r="D1530" s="1480" t="s">
        <v>1365</v>
      </c>
      <c r="E1530" s="867" t="s">
        <v>1806</v>
      </c>
      <c r="F1530" s="1480"/>
      <c r="G1530" s="1480"/>
      <c r="H1530" s="1480"/>
      <c r="I1530" s="1427" t="str">
        <f t="shared" si="233"/>
        <v>Incentive Type</v>
      </c>
      <c r="J1530" s="1480" t="str">
        <f t="shared" ref="J1530:J1547" si="238">$Q$1&amp;IF(T$1510=2,V1511,IF(T$1510=1,IF(AND(T$1529=1,T$1529&lt;&gt;0),U1530,IF(AND(X$1510=1,X$1510&lt;&gt;0),Y1511,"")),IF(T$1529=2,V1530,IF(T$1529=1,IF(AND(X$1510=1,X$1510&lt;&gt;0),Y1511,""),IF(X$1510=2,Z1511,"")))))</f>
        <v>F</v>
      </c>
      <c r="K1530" s="1480" t="str">
        <f t="shared" si="232"/>
        <v>Incentives</v>
      </c>
      <c r="L1530" s="1480"/>
      <c r="M1530" s="1480"/>
      <c r="N1530" s="1480"/>
      <c r="O1530" s="1477"/>
      <c r="P1530" s="1477"/>
      <c r="Q1530" s="1477"/>
      <c r="R1530" s="1480" t="s">
        <v>1107</v>
      </c>
      <c r="S1530" s="1477"/>
      <c r="T1530" s="1477"/>
      <c r="U1530" s="1480" t="str">
        <f>IF(Q$1163="Yes",M1164,"")</f>
        <v/>
      </c>
      <c r="V1530" s="1480" t="str">
        <f>IF(Q$1188="Yes",M1189,"")</f>
        <v/>
      </c>
      <c r="W1530" s="1477"/>
      <c r="X1530" s="1477"/>
      <c r="Y1530" s="1477"/>
      <c r="Z1530" s="1477"/>
    </row>
    <row r="1531" spans="1:26" hidden="1" x14ac:dyDescent="0.25">
      <c r="A1531" s="1182" t="s">
        <v>1401</v>
      </c>
      <c r="B1531" s="1427" t="str">
        <f>IFERROR(_xlfn.CONCAT("D",('Configurable Tab'!$C$21+4)),"")</f>
        <v>D209</v>
      </c>
      <c r="C1531" s="1427" t="str">
        <f>IFERROR(_xlfn.CONCAT("E",('Configurable Tab'!$C$21+4)),"")</f>
        <v>E209</v>
      </c>
      <c r="D1531" s="1480" t="s">
        <v>1365</v>
      </c>
      <c r="E1531" s="867" t="s">
        <v>1806</v>
      </c>
      <c r="F1531" s="1480"/>
      <c r="G1531" s="1480"/>
      <c r="H1531" s="1480"/>
      <c r="I1531" s="1427" t="str">
        <f t="shared" si="233"/>
        <v>Incentive Effective Date</v>
      </c>
      <c r="J1531" s="1480" t="str">
        <f t="shared" si="238"/>
        <v>F</v>
      </c>
      <c r="K1531" s="1480" t="str">
        <f t="shared" si="232"/>
        <v>Incentives</v>
      </c>
      <c r="L1531" s="1480"/>
      <c r="M1531" s="1480"/>
      <c r="N1531" s="1480"/>
      <c r="O1531" s="1477"/>
      <c r="P1531" s="1477"/>
      <c r="Q1531" s="1477"/>
      <c r="R1531" s="1480" t="s">
        <v>1107</v>
      </c>
      <c r="S1531" s="1477"/>
      <c r="T1531" s="1477"/>
      <c r="U1531" s="1480" t="str">
        <f>IF(Q$1163="Yes",M1167,"")</f>
        <v/>
      </c>
      <c r="V1531" s="1480" t="str">
        <f>IF(Q$1188="Yes",M1192,"")</f>
        <v/>
      </c>
      <c r="W1531" s="1477"/>
      <c r="X1531" s="1477"/>
      <c r="Y1531" s="1477"/>
      <c r="Z1531" s="1477"/>
    </row>
    <row r="1532" spans="1:26" hidden="1" x14ac:dyDescent="0.25">
      <c r="A1532" s="1182" t="s">
        <v>1402</v>
      </c>
      <c r="B1532" s="1427" t="str">
        <f>IFERROR(_xlfn.CONCAT("D",('Configurable Tab'!$C$21+5)),"")</f>
        <v>D210</v>
      </c>
      <c r="C1532" s="1427" t="str">
        <f>IFERROR(_xlfn.CONCAT("E",('Configurable Tab'!$C$21+5)),"")</f>
        <v>E210</v>
      </c>
      <c r="D1532" s="1480" t="s">
        <v>1365</v>
      </c>
      <c r="E1532" s="867" t="s">
        <v>1806</v>
      </c>
      <c r="F1532" s="1480"/>
      <c r="G1532" s="1480"/>
      <c r="H1532" s="1480"/>
      <c r="I1532" s="1427" t="str">
        <f t="shared" si="233"/>
        <v>Incentive Expiration Date</v>
      </c>
      <c r="J1532" s="1480" t="str">
        <f t="shared" si="238"/>
        <v>F</v>
      </c>
      <c r="K1532" s="1480" t="str">
        <f t="shared" si="232"/>
        <v>Incentives</v>
      </c>
      <c r="L1532" s="1480"/>
      <c r="M1532" s="1480"/>
      <c r="N1532" s="1480"/>
      <c r="O1532" s="1477"/>
      <c r="P1532" s="1477"/>
      <c r="Q1532" s="1477"/>
      <c r="R1532" s="1480" t="s">
        <v>1107</v>
      </c>
      <c r="S1532" s="1477"/>
      <c r="T1532" s="1477"/>
      <c r="U1532" s="1480" t="str">
        <f>IF(Q$1163="Yes",M1168,"")</f>
        <v/>
      </c>
      <c r="V1532" s="1480" t="str">
        <f>IF(Q$1188="Yes",M1193,"")</f>
        <v/>
      </c>
      <c r="W1532" s="1477"/>
      <c r="X1532" s="1477"/>
      <c r="Y1532" s="1477"/>
      <c r="Z1532" s="1477"/>
    </row>
    <row r="1533" spans="1:26" hidden="1" x14ac:dyDescent="0.25">
      <c r="A1533" s="1182" t="s">
        <v>1396</v>
      </c>
      <c r="B1533" s="1427" t="str">
        <f>IFERROR(_xlfn.CONCAT("G",('Configurable Tab'!$C$21+1)),"")</f>
        <v>G206</v>
      </c>
      <c r="C1533" s="1427" t="str">
        <f>IFERROR(_xlfn.CONCAT("G",('Configurable Tab'!$C$21+2)),"")</f>
        <v>G207</v>
      </c>
      <c r="D1533" s="1480" t="s">
        <v>1365</v>
      </c>
      <c r="E1533" s="867" t="s">
        <v>1806</v>
      </c>
      <c r="F1533" s="1480"/>
      <c r="G1533" s="1480"/>
      <c r="H1533" s="1480"/>
      <c r="I1533" s="1427" t="str">
        <f t="shared" si="233"/>
        <v>Incentive Period</v>
      </c>
      <c r="J1533" s="1480" t="str">
        <f t="shared" si="238"/>
        <v>F</v>
      </c>
      <c r="K1533" s="1480" t="str">
        <f t="shared" si="232"/>
        <v>Incentives</v>
      </c>
      <c r="L1533" s="1480"/>
      <c r="M1533" s="1480"/>
      <c r="N1533" s="1480"/>
      <c r="O1533" s="1477"/>
      <c r="P1533" s="1477"/>
      <c r="Q1533" s="1477"/>
      <c r="R1533" s="1480" t="s">
        <v>1107</v>
      </c>
      <c r="S1533" s="1477"/>
      <c r="T1533" s="1477"/>
      <c r="U1533" s="1477"/>
      <c r="V1533" s="1477"/>
      <c r="W1533" s="1477"/>
      <c r="X1533" s="1477"/>
      <c r="Y1533" s="1477"/>
      <c r="Z1533" s="1477"/>
    </row>
    <row r="1534" spans="1:26" hidden="1" x14ac:dyDescent="0.25">
      <c r="A1534" s="1182" t="s">
        <v>1397</v>
      </c>
      <c r="B1534" s="1427" t="str">
        <f>IFERROR(_xlfn.CONCAT("I",('Configurable Tab'!$C$21+1)),"")</f>
        <v>I206</v>
      </c>
      <c r="C1534" s="1427" t="str">
        <f>IFERROR(_xlfn.CONCAT("I",('Configurable Tab'!$C$21+2)),"")</f>
        <v>I207</v>
      </c>
      <c r="D1534" s="1480" t="s">
        <v>1365</v>
      </c>
      <c r="E1534" s="867" t="s">
        <v>1806</v>
      </c>
      <c r="F1534" s="1480"/>
      <c r="G1534" s="1480"/>
      <c r="H1534" s="1480"/>
      <c r="I1534" s="1427" t="str">
        <f t="shared" si="233"/>
        <v>Payment Method</v>
      </c>
      <c r="J1534" s="1480" t="str">
        <f t="shared" si="238"/>
        <v>F</v>
      </c>
      <c r="K1534" s="1480" t="str">
        <f t="shared" si="232"/>
        <v>Incentives</v>
      </c>
      <c r="L1534" s="1480"/>
      <c r="M1534" s="1480"/>
      <c r="N1534" s="1480"/>
      <c r="O1534" s="1477"/>
      <c r="P1534" s="1477"/>
      <c r="Q1534" s="1477"/>
      <c r="R1534" s="1480" t="s">
        <v>1107</v>
      </c>
      <c r="S1534" s="1477"/>
      <c r="T1534" s="1477"/>
      <c r="U1534" s="1480" t="str">
        <f>IF(Q$1163="Yes",M1165,"")</f>
        <v/>
      </c>
      <c r="V1534" s="1480" t="str">
        <f>IF(Q$1188="Yes",M1190,"")</f>
        <v/>
      </c>
      <c r="W1534" s="1477"/>
      <c r="X1534" s="1477"/>
      <c r="Y1534" s="1477"/>
      <c r="Z1534" s="1477"/>
    </row>
    <row r="1535" spans="1:26" hidden="1" x14ac:dyDescent="0.25">
      <c r="A1535" s="1182" t="s">
        <v>1398</v>
      </c>
      <c r="B1535" s="1427" t="str">
        <f>IFERROR(_xlfn.CONCAT("M",('Configurable Tab'!$C$21+1)),"")</f>
        <v>M206</v>
      </c>
      <c r="C1535" s="1427" t="str">
        <f>IFERROR(_xlfn.CONCAT("M",('Configurable Tab'!$C$21+2)),"")</f>
        <v>M207</v>
      </c>
      <c r="D1535" s="1480" t="s">
        <v>1365</v>
      </c>
      <c r="E1535" s="867" t="s">
        <v>1806</v>
      </c>
      <c r="F1535" s="1480"/>
      <c r="G1535" s="1480"/>
      <c r="H1535" s="1480"/>
      <c r="I1535" s="1427" t="str">
        <f t="shared" si="233"/>
        <v>AP/AR Vendor Number</v>
      </c>
      <c r="J1535" s="1480" t="str">
        <f t="shared" si="238"/>
        <v>F</v>
      </c>
      <c r="K1535" s="1480" t="str">
        <f t="shared" si="232"/>
        <v>Incentives</v>
      </c>
      <c r="L1535" s="1480"/>
      <c r="M1535" s="1480"/>
      <c r="N1535" s="1480"/>
      <c r="O1535" s="1477"/>
      <c r="P1535" s="1477"/>
      <c r="Q1535" s="1477"/>
      <c r="R1535" s="1480" t="s">
        <v>1107</v>
      </c>
      <c r="S1535" s="1477"/>
      <c r="T1535" s="1477"/>
      <c r="U1535" s="1480" t="str">
        <f>IF(Q$1163="Yes",M1166,"")</f>
        <v/>
      </c>
      <c r="V1535" s="1480" t="str">
        <f>IF(Q$1188="Yes",M1191,"")</f>
        <v/>
      </c>
      <c r="W1535" s="1477"/>
      <c r="X1535" s="1477"/>
      <c r="Y1535" s="1477"/>
      <c r="Z1535" s="1477"/>
    </row>
    <row r="1536" spans="1:26" hidden="1" x14ac:dyDescent="0.25">
      <c r="A1536" s="1182" t="s">
        <v>1412</v>
      </c>
      <c r="B1536" s="1427" t="str">
        <f>IFERROR(_xlfn.CONCAT("G",('Configurable Tab'!$C$21+4)),"")</f>
        <v>G209</v>
      </c>
      <c r="C1536" s="1427" t="str">
        <f>IFERROR(_xlfn.CONCAT("G",('Configurable Tab'!$C$21+5)),"")</f>
        <v>G210</v>
      </c>
      <c r="D1536" s="1480" t="s">
        <v>1365</v>
      </c>
      <c r="E1536" s="867" t="s">
        <v>1806</v>
      </c>
      <c r="F1536" s="1476"/>
      <c r="G1536" s="1180"/>
      <c r="H1536" s="1480"/>
      <c r="I1536" s="1427" t="str">
        <f t="shared" si="233"/>
        <v>FF Payment Amount</v>
      </c>
      <c r="J1536" s="1480" t="str">
        <f t="shared" si="238"/>
        <v>F</v>
      </c>
      <c r="K1536" s="1480" t="str">
        <f t="shared" si="232"/>
        <v>Incentives</v>
      </c>
      <c r="L1536" s="1480"/>
      <c r="M1536" s="1480"/>
      <c r="N1536" s="1480"/>
      <c r="O1536" s="1477"/>
      <c r="P1536" s="1477"/>
      <c r="Q1536" s="1477"/>
      <c r="R1536" s="1480" t="s">
        <v>1107</v>
      </c>
      <c r="S1536" s="1477"/>
      <c r="T1536" s="1477"/>
      <c r="U1536" s="1480" t="str">
        <f>IF(Q$1163="Yes",M1171,"")</f>
        <v/>
      </c>
      <c r="V1536" s="1480" t="str">
        <f>IF(Q$1188="Yes",M1196,"")</f>
        <v/>
      </c>
      <c r="W1536" s="1477"/>
      <c r="X1536" s="1477"/>
      <c r="Y1536" s="1477"/>
      <c r="Z1536" s="1477"/>
    </row>
    <row r="1537" spans="1:26" hidden="1" x14ac:dyDescent="0.25">
      <c r="A1537" s="1182" t="s">
        <v>1405</v>
      </c>
      <c r="B1537" s="1427" t="str">
        <f>IFERROR(_xlfn.CONCAT("G",('Configurable Tab'!$C$21+7)),"")</f>
        <v>G212</v>
      </c>
      <c r="C1537" s="1427" t="str">
        <f>IFERROR(_xlfn.CONCAT("G",('Configurable Tab'!$C$21+8)),"")</f>
        <v>G213</v>
      </c>
      <c r="D1537" s="1480" t="s">
        <v>1365</v>
      </c>
      <c r="E1537" s="867" t="s">
        <v>1806</v>
      </c>
      <c r="F1537" s="1480"/>
      <c r="G1537" s="1480"/>
      <c r="H1537" s="1480"/>
      <c r="I1537" s="1427" t="str">
        <f t="shared" si="233"/>
        <v>Rate % of Sales</v>
      </c>
      <c r="J1537" s="1480" t="str">
        <f t="shared" si="238"/>
        <v>F</v>
      </c>
      <c r="K1537" s="1480" t="str">
        <f t="shared" si="232"/>
        <v>Incentives</v>
      </c>
      <c r="L1537" s="1480"/>
      <c r="M1537" s="1480"/>
      <c r="N1537" s="1480"/>
      <c r="O1537" s="1477"/>
      <c r="P1537" s="1477"/>
      <c r="Q1537" s="1477"/>
      <c r="R1537" s="1480" t="s">
        <v>1107</v>
      </c>
      <c r="S1537" s="1477"/>
      <c r="T1537" s="1477"/>
      <c r="U1537" s="1477"/>
      <c r="V1537" s="1477"/>
      <c r="W1537" s="1477"/>
      <c r="X1537" s="1477"/>
      <c r="Y1537" s="1477"/>
      <c r="Z1537" s="1477"/>
    </row>
    <row r="1538" spans="1:26" hidden="1" x14ac:dyDescent="0.25">
      <c r="A1538" s="1182" t="s">
        <v>730</v>
      </c>
      <c r="B1538" s="1427" t="str">
        <f>IFERROR(_xlfn.CONCAT("K",('Configurable Tab'!$C$21+4)),"")</f>
        <v>K209</v>
      </c>
      <c r="C1538" s="1427" t="str">
        <f>IFERROR(_xlfn.CONCAT("K",('Configurable Tab'!$C$21+5)),"")</f>
        <v>K210</v>
      </c>
      <c r="D1538" s="1480" t="s">
        <v>1365</v>
      </c>
      <c r="E1538" s="867" t="s">
        <v>1806</v>
      </c>
      <c r="F1538" s="1480"/>
      <c r="G1538" s="1480"/>
      <c r="H1538" s="1480"/>
      <c r="I1538" s="1427" t="str">
        <f t="shared" si="233"/>
        <v>Payment Amount</v>
      </c>
      <c r="J1538" s="1480" t="str">
        <f t="shared" si="238"/>
        <v>F</v>
      </c>
      <c r="K1538" s="1480" t="str">
        <f t="shared" si="232"/>
        <v>Incentives</v>
      </c>
      <c r="L1538" s="1480"/>
      <c r="M1538" s="1480"/>
      <c r="N1538" s="1480"/>
      <c r="O1538" s="1477"/>
      <c r="P1538" s="1477"/>
      <c r="Q1538" s="1477"/>
      <c r="R1538" s="1480" t="s">
        <v>1107</v>
      </c>
      <c r="S1538" s="1477"/>
      <c r="T1538" s="1477"/>
      <c r="U1538" s="1480" t="str">
        <f>IF(Q$1163="Yes",M1173,"")</f>
        <v/>
      </c>
      <c r="V1538" s="1480" t="str">
        <f>IF(Q$1188="Yes",M1198,"")</f>
        <v/>
      </c>
      <c r="W1538" s="1477"/>
      <c r="X1538" s="1477"/>
      <c r="Y1538" s="1477"/>
      <c r="Z1538" s="1477"/>
    </row>
    <row r="1539" spans="1:26" hidden="1" x14ac:dyDescent="0.25">
      <c r="A1539" s="1182" t="s">
        <v>730</v>
      </c>
      <c r="B1539" s="1427" t="str">
        <f>IFERROR(_xlfn.CONCAT("K",('Configurable Tab'!$C$21+4)),"")</f>
        <v>K209</v>
      </c>
      <c r="C1539" s="1427" t="str">
        <f>IFERROR(_xlfn.CONCAT("K",('Configurable Tab'!$C$21+6)),"")</f>
        <v>K211</v>
      </c>
      <c r="D1539" s="1480" t="s">
        <v>1365</v>
      </c>
      <c r="E1539" s="867" t="s">
        <v>1806</v>
      </c>
      <c r="F1539" s="1480"/>
      <c r="G1539" s="1480"/>
      <c r="H1539" s="1480"/>
      <c r="I1539" s="1427" t="str">
        <f t="shared" si="233"/>
        <v>Payment Amount</v>
      </c>
      <c r="J1539" s="1480" t="str">
        <f t="shared" si="238"/>
        <v>F</v>
      </c>
      <c r="K1539" s="1480" t="str">
        <f t="shared" si="232"/>
        <v>Incentives</v>
      </c>
      <c r="L1539" s="1480"/>
      <c r="M1539" s="1480"/>
      <c r="N1539" s="1480"/>
      <c r="O1539" s="1477"/>
      <c r="P1539" s="1477"/>
      <c r="Q1539" s="1477"/>
      <c r="R1539" s="1480" t="s">
        <v>1107</v>
      </c>
      <c r="S1539" s="1477"/>
      <c r="T1539" s="1477"/>
      <c r="U1539" s="1480" t="str">
        <f>IF(Q$1163="Yes",M1176,"")</f>
        <v/>
      </c>
      <c r="V1539" s="1480" t="str">
        <f>IF(Q$1188="Yes",M1201,"")</f>
        <v/>
      </c>
      <c r="W1539" s="1477"/>
      <c r="X1539" s="1477"/>
      <c r="Y1539" s="1477"/>
      <c r="Z1539" s="1477"/>
    </row>
    <row r="1540" spans="1:26" hidden="1" x14ac:dyDescent="0.25">
      <c r="A1540" s="1182" t="s">
        <v>730</v>
      </c>
      <c r="B1540" s="1427" t="str">
        <f>IFERROR(_xlfn.CONCAT("K",('Configurable Tab'!$C$21+4)),"")</f>
        <v>K209</v>
      </c>
      <c r="C1540" s="1427" t="str">
        <f>IFERROR(_xlfn.CONCAT("K",('Configurable Tab'!$C$21+7)),"")</f>
        <v>K212</v>
      </c>
      <c r="D1540" s="1480" t="s">
        <v>1365</v>
      </c>
      <c r="E1540" s="867" t="s">
        <v>1806</v>
      </c>
      <c r="F1540" s="1480"/>
      <c r="G1540" s="1480"/>
      <c r="H1540" s="1480"/>
      <c r="I1540" s="1427" t="str">
        <f t="shared" si="233"/>
        <v>Payment Amount</v>
      </c>
      <c r="J1540" s="1480" t="str">
        <f t="shared" si="238"/>
        <v>F</v>
      </c>
      <c r="K1540" s="1480" t="str">
        <f t="shared" si="232"/>
        <v>Incentives</v>
      </c>
      <c r="L1540" s="1480"/>
      <c r="M1540" s="1480"/>
      <c r="N1540" s="1480"/>
      <c r="O1540" s="1477"/>
      <c r="P1540" s="1477"/>
      <c r="Q1540" s="1477"/>
      <c r="R1540" s="1480" t="s">
        <v>1107</v>
      </c>
      <c r="S1540" s="1477"/>
      <c r="T1540" s="1477"/>
      <c r="U1540" s="1480" t="str">
        <f>IF(Q$1163="Yes",M1179,"")</f>
        <v/>
      </c>
      <c r="V1540" s="1480" t="str">
        <f>IF(Q$1188="Yes",M1204,"")</f>
        <v/>
      </c>
      <c r="W1540" s="1477"/>
      <c r="X1540" s="1477"/>
      <c r="Y1540" s="1477"/>
      <c r="Z1540" s="1477"/>
    </row>
    <row r="1541" spans="1:26" hidden="1" x14ac:dyDescent="0.25">
      <c r="A1541" s="1182" t="s">
        <v>730</v>
      </c>
      <c r="B1541" s="1427" t="str">
        <f>IFERROR(_xlfn.CONCAT("K",('Configurable Tab'!$C$21+4)),"")</f>
        <v>K209</v>
      </c>
      <c r="C1541" s="1427" t="str">
        <f>IFERROR(_xlfn.CONCAT("K",('Configurable Tab'!$C$21+8)),"")</f>
        <v>K213</v>
      </c>
      <c r="D1541" s="1480" t="s">
        <v>1365</v>
      </c>
      <c r="E1541" s="867" t="s">
        <v>1806</v>
      </c>
      <c r="F1541" s="1480"/>
      <c r="G1541" s="1480"/>
      <c r="H1541" s="1480"/>
      <c r="I1541" s="1427" t="str">
        <f t="shared" si="233"/>
        <v>Payment Amount</v>
      </c>
      <c r="J1541" s="1480" t="str">
        <f t="shared" si="238"/>
        <v>F</v>
      </c>
      <c r="K1541" s="1480" t="str">
        <f t="shared" ref="K1541:K1553" si="239">IF(J1541&lt;&gt;"",E1541,"")</f>
        <v>Incentives</v>
      </c>
      <c r="L1541" s="1480"/>
      <c r="M1541" s="1480"/>
      <c r="N1541" s="1480"/>
      <c r="O1541" s="1477"/>
      <c r="P1541" s="1477"/>
      <c r="Q1541" s="1477"/>
      <c r="R1541" s="1480" t="s">
        <v>1107</v>
      </c>
      <c r="S1541" s="1477"/>
      <c r="T1541" s="1477"/>
      <c r="U1541" s="1480" t="str">
        <f>IF(Q$1163="Yes",M1182,"")</f>
        <v/>
      </c>
      <c r="V1541" s="1480" t="str">
        <f>IF(Q$1188="Yes",M1207,"")</f>
        <v/>
      </c>
      <c r="W1541" s="1477"/>
      <c r="X1541" s="1477"/>
      <c r="Y1541" s="1477"/>
      <c r="Z1541" s="1477"/>
    </row>
    <row r="1542" spans="1:26" hidden="1" x14ac:dyDescent="0.25">
      <c r="A1542" s="1182" t="s">
        <v>730</v>
      </c>
      <c r="B1542" s="1427" t="str">
        <f>IFERROR(_xlfn.CONCAT("K",('Configurable Tab'!$C$21+4)),"")</f>
        <v>K209</v>
      </c>
      <c r="C1542" s="1427" t="str">
        <f>IFERROR(_xlfn.CONCAT("K",('Configurable Tab'!$C$21+9)),"")</f>
        <v>K214</v>
      </c>
      <c r="D1542" s="1480" t="s">
        <v>1365</v>
      </c>
      <c r="E1542" s="867" t="s">
        <v>1806</v>
      </c>
      <c r="F1542" s="1480"/>
      <c r="G1542" s="1480"/>
      <c r="H1542" s="1480"/>
      <c r="I1542" s="1427" t="str">
        <f t="shared" ref="I1542:I1553" si="240">IF(J1542&lt;&gt;"",A1542,"")</f>
        <v>Payment Amount</v>
      </c>
      <c r="J1542" s="1480" t="str">
        <f t="shared" si="238"/>
        <v>F</v>
      </c>
      <c r="K1542" s="1480" t="str">
        <f t="shared" si="239"/>
        <v>Incentives</v>
      </c>
      <c r="L1542" s="1480"/>
      <c r="M1542" s="1480"/>
      <c r="N1542" s="1480"/>
      <c r="O1542" s="1477"/>
      <c r="P1542" s="1477"/>
      <c r="Q1542" s="1477"/>
      <c r="R1542" s="1480" t="s">
        <v>1107</v>
      </c>
      <c r="S1542" s="1477"/>
      <c r="T1542" s="1477"/>
      <c r="U1542" s="1480" t="str">
        <f>IF(Q$1163="Yes",M1185,"")</f>
        <v/>
      </c>
      <c r="V1542" s="1480" t="str">
        <f>IF(Q$1188="Yes",M1210,"")</f>
        <v/>
      </c>
      <c r="W1542" s="1477"/>
      <c r="X1542" s="1477"/>
      <c r="Y1542" s="1477"/>
      <c r="Z1542" s="1477"/>
    </row>
    <row r="1543" spans="1:26" hidden="1" x14ac:dyDescent="0.25">
      <c r="A1543" s="1182" t="s">
        <v>1501</v>
      </c>
      <c r="B1543" s="1427" t="str">
        <f>IFERROR(_xlfn.CONCAT("M",('Configurable Tab'!$C$21+4)),"")</f>
        <v>M209</v>
      </c>
      <c r="C1543" s="1427" t="str">
        <f>IFERROR(_xlfn.CONCAT("M",('Configurable Tab'!$C$21+5)),"")</f>
        <v>M210</v>
      </c>
      <c r="D1543" s="1480" t="s">
        <v>1365</v>
      </c>
      <c r="E1543" s="867" t="s">
        <v>1806</v>
      </c>
      <c r="F1543" s="1480"/>
      <c r="G1543" s="1480"/>
      <c r="H1543" s="1480"/>
      <c r="I1543" s="1427" t="str">
        <f t="shared" si="240"/>
        <v>Purchase Commitment</v>
      </c>
      <c r="J1543" s="1480" t="str">
        <f t="shared" si="238"/>
        <v>F</v>
      </c>
      <c r="K1543" s="1480" t="str">
        <f t="shared" si="239"/>
        <v>Incentives</v>
      </c>
      <c r="L1543" s="1480"/>
      <c r="M1543" s="1480"/>
      <c r="N1543" s="1480"/>
      <c r="O1543" s="1477"/>
      <c r="P1543" s="1477"/>
      <c r="Q1543" s="1477"/>
      <c r="R1543" s="1480" t="s">
        <v>1107</v>
      </c>
      <c r="S1543" s="1477"/>
      <c r="T1543" s="1477"/>
      <c r="U1543" s="1477"/>
      <c r="V1543" s="1477"/>
      <c r="W1543" s="1477"/>
      <c r="X1543" s="1477"/>
      <c r="Y1543" s="1477"/>
      <c r="Z1543" s="1477"/>
    </row>
    <row r="1544" spans="1:26" hidden="1" x14ac:dyDescent="0.25">
      <c r="A1544" s="1182" t="s">
        <v>1501</v>
      </c>
      <c r="B1544" s="1427" t="str">
        <f>IFERROR(_xlfn.CONCAT("M",('Configurable Tab'!$C$21+4)),"")</f>
        <v>M209</v>
      </c>
      <c r="C1544" s="1427" t="str">
        <f>IFERROR(_xlfn.CONCAT("M",('Configurable Tab'!$C$21+6)),"")</f>
        <v>M211</v>
      </c>
      <c r="D1544" s="1480" t="s">
        <v>1365</v>
      </c>
      <c r="E1544" s="867" t="s">
        <v>1806</v>
      </c>
      <c r="F1544" s="1480"/>
      <c r="G1544" s="1480"/>
      <c r="H1544" s="1480"/>
      <c r="I1544" s="1427" t="str">
        <f t="shared" si="240"/>
        <v>Purchase Commitment</v>
      </c>
      <c r="J1544" s="1480" t="str">
        <f t="shared" si="238"/>
        <v>F</v>
      </c>
      <c r="K1544" s="1480" t="str">
        <f t="shared" si="239"/>
        <v>Incentives</v>
      </c>
      <c r="L1544" s="1480"/>
      <c r="M1544" s="1480"/>
      <c r="N1544" s="1480"/>
      <c r="O1544" s="1477"/>
      <c r="P1544" s="1477"/>
      <c r="Q1544" s="1477"/>
      <c r="R1544" s="1480" t="s">
        <v>1107</v>
      </c>
      <c r="S1544" s="1477"/>
      <c r="T1544" s="1477"/>
      <c r="U1544" s="1477"/>
      <c r="V1544" s="1477"/>
      <c r="W1544" s="1477"/>
      <c r="X1544" s="1477"/>
      <c r="Y1544" s="1477"/>
      <c r="Z1544" s="1477"/>
    </row>
    <row r="1545" spans="1:26" hidden="1" x14ac:dyDescent="0.25">
      <c r="A1545" s="1182" t="s">
        <v>1501</v>
      </c>
      <c r="B1545" s="1427" t="str">
        <f>IFERROR(_xlfn.CONCAT("M",('Configurable Tab'!$C$21+4)),"")</f>
        <v>M209</v>
      </c>
      <c r="C1545" s="1427" t="str">
        <f>IFERROR(_xlfn.CONCAT("M",('Configurable Tab'!$C$21+7)),"")</f>
        <v>M212</v>
      </c>
      <c r="D1545" s="1480" t="s">
        <v>1365</v>
      </c>
      <c r="E1545" s="867" t="s">
        <v>1806</v>
      </c>
      <c r="F1545" s="1480"/>
      <c r="G1545" s="1480"/>
      <c r="H1545" s="1480"/>
      <c r="I1545" s="1427" t="str">
        <f t="shared" si="240"/>
        <v>Purchase Commitment</v>
      </c>
      <c r="J1545" s="1480" t="str">
        <f t="shared" si="238"/>
        <v>F</v>
      </c>
      <c r="K1545" s="1480" t="str">
        <f t="shared" si="239"/>
        <v>Incentives</v>
      </c>
      <c r="L1545" s="1480"/>
      <c r="M1545" s="1480"/>
      <c r="N1545" s="1480"/>
      <c r="O1545" s="1477"/>
      <c r="P1545" s="1477"/>
      <c r="Q1545" s="1477"/>
      <c r="R1545" s="1480" t="s">
        <v>1107</v>
      </c>
      <c r="S1545" s="1477"/>
      <c r="T1545" s="1477"/>
      <c r="U1545" s="1477"/>
      <c r="V1545" s="1477"/>
      <c r="W1545" s="1477"/>
      <c r="X1545" s="1477"/>
      <c r="Y1545" s="1477"/>
      <c r="Z1545" s="1477"/>
    </row>
    <row r="1546" spans="1:26" hidden="1" x14ac:dyDescent="0.25">
      <c r="A1546" s="1182" t="s">
        <v>1501</v>
      </c>
      <c r="B1546" s="1427" t="str">
        <f>IFERROR(_xlfn.CONCAT("M",('Configurable Tab'!$C$21+4)),"")</f>
        <v>M209</v>
      </c>
      <c r="C1546" s="1427" t="str">
        <f>IFERROR(_xlfn.CONCAT("M",('Configurable Tab'!$C$21+8)),"")</f>
        <v>M213</v>
      </c>
      <c r="D1546" s="1480" t="s">
        <v>1365</v>
      </c>
      <c r="E1546" s="867" t="s">
        <v>1806</v>
      </c>
      <c r="F1546" s="1480"/>
      <c r="G1546" s="1480"/>
      <c r="H1546" s="1480"/>
      <c r="I1546" s="1427" t="str">
        <f t="shared" si="240"/>
        <v>Purchase Commitment</v>
      </c>
      <c r="J1546" s="1480" t="str">
        <f t="shared" si="238"/>
        <v>F</v>
      </c>
      <c r="K1546" s="1480" t="str">
        <f t="shared" si="239"/>
        <v>Incentives</v>
      </c>
      <c r="L1546" s="1480"/>
      <c r="M1546" s="1480"/>
      <c r="N1546" s="1480"/>
      <c r="O1546" s="1477"/>
      <c r="P1546" s="1477"/>
      <c r="Q1546" s="1477"/>
      <c r="R1546" s="1480" t="s">
        <v>1107</v>
      </c>
      <c r="S1546" s="1477"/>
      <c r="T1546" s="1477"/>
      <c r="U1546" s="1477"/>
      <c r="V1546" s="1477"/>
      <c r="W1546" s="1477"/>
      <c r="X1546" s="1477"/>
      <c r="Y1546" s="1477"/>
      <c r="Z1546" s="1477"/>
    </row>
    <row r="1547" spans="1:26" hidden="1" x14ac:dyDescent="0.25">
      <c r="A1547" s="1182" t="s">
        <v>1501</v>
      </c>
      <c r="B1547" s="1427" t="str">
        <f>IFERROR(_xlfn.CONCAT("M",('Configurable Tab'!$C$21+4)),"")</f>
        <v>M209</v>
      </c>
      <c r="C1547" s="1427" t="str">
        <f>IFERROR(_xlfn.CONCAT("M",('Configurable Tab'!$C$21+9)),"")</f>
        <v>M214</v>
      </c>
      <c r="D1547" s="1480" t="s">
        <v>1365</v>
      </c>
      <c r="E1547" s="867" t="s">
        <v>1806</v>
      </c>
      <c r="F1547" s="1480"/>
      <c r="G1547" s="1480"/>
      <c r="H1547" s="1480"/>
      <c r="I1547" s="1427" t="str">
        <f t="shared" si="240"/>
        <v>Purchase Commitment</v>
      </c>
      <c r="J1547" s="1480" t="str">
        <f t="shared" si="238"/>
        <v>F</v>
      </c>
      <c r="K1547" s="1480" t="str">
        <f t="shared" si="239"/>
        <v>Incentives</v>
      </c>
      <c r="L1547" s="1480"/>
      <c r="M1547" s="1480"/>
      <c r="N1547" s="1480"/>
      <c r="O1547" s="1477"/>
      <c r="P1547" s="1477"/>
      <c r="Q1547" s="1477"/>
      <c r="R1547" s="1480" t="s">
        <v>1107</v>
      </c>
      <c r="S1547" s="1477"/>
      <c r="T1547" s="1477"/>
      <c r="U1547" s="1477"/>
      <c r="V1547" s="1477"/>
      <c r="W1547" s="1477"/>
      <c r="X1547" s="1477"/>
      <c r="Y1547" s="1477"/>
      <c r="Z1547" s="1477"/>
    </row>
    <row r="1548" spans="1:26" hidden="1" x14ac:dyDescent="0.25">
      <c r="A1548" s="929" t="s">
        <v>526</v>
      </c>
      <c r="B1548" s="1427" t="str">
        <f>IFERROR(_xlfn.CONCAT("D",('Configurable Tab'!$C$22+1)),"")</f>
        <v>D218</v>
      </c>
      <c r="C1548" s="1427" t="str">
        <f>IFERROR(_xlfn.CONCAT("E",('Configurable Tab'!$C$22+1)),"")</f>
        <v>E218</v>
      </c>
      <c r="D1548" s="1480" t="s">
        <v>1365</v>
      </c>
      <c r="E1548" s="867" t="s">
        <v>1806</v>
      </c>
      <c r="F1548" s="1480"/>
      <c r="G1548" s="1480"/>
      <c r="H1548" s="1480"/>
      <c r="I1548" s="1427" t="str">
        <f t="shared" si="240"/>
        <v>Offer this Incentive?</v>
      </c>
      <c r="J1548" s="1480" t="str">
        <f t="shared" ref="J1548:J1553" si="241">$Q$1&amp;T1548</f>
        <v>F1196</v>
      </c>
      <c r="K1548" s="1480" t="str">
        <f t="shared" si="239"/>
        <v>Incentives</v>
      </c>
      <c r="L1548" s="1480"/>
      <c r="M1548" s="1480"/>
      <c r="N1548" s="1480"/>
      <c r="O1548" s="1477" t="s">
        <v>1831</v>
      </c>
      <c r="P1548" s="1477"/>
      <c r="Q1548" s="1427" t="str">
        <f>IFERROR(_xlfn.CONCAT("C",('Configurable Tab'!$C22+1)),"")</f>
        <v>C218</v>
      </c>
      <c r="R1548" s="1480" t="s">
        <v>1165</v>
      </c>
      <c r="S1548" s="1477"/>
      <c r="T1548" s="1480">
        <f>IF(Q1213="Yes",M1213,"")</f>
        <v>1196</v>
      </c>
      <c r="U1548" s="1477"/>
      <c r="V1548" s="1477"/>
      <c r="W1548" s="1477"/>
      <c r="X1548" s="1477"/>
      <c r="Y1548" s="1477"/>
      <c r="Z1548" s="1477"/>
    </row>
    <row r="1549" spans="1:26" hidden="1" x14ac:dyDescent="0.25">
      <c r="A1549" s="924" t="s">
        <v>1399</v>
      </c>
      <c r="B1549" s="1427" t="str">
        <f>IFERROR(_xlfn.CONCAT("D",('Configurable Tab'!$C$22+2)),"")</f>
        <v>D219</v>
      </c>
      <c r="C1549" s="1427" t="str">
        <f>IFERROR(_xlfn.CONCAT("E",('Configurable Tab'!$C$22+2)),"")</f>
        <v>E219</v>
      </c>
      <c r="D1549" s="1480" t="s">
        <v>1365</v>
      </c>
      <c r="E1549" s="867" t="s">
        <v>1806</v>
      </c>
      <c r="F1549" s="1480"/>
      <c r="G1549" s="1480"/>
      <c r="H1549" s="1480"/>
      <c r="I1549" s="1427" t="str">
        <f t="shared" si="240"/>
        <v>Incentive Type</v>
      </c>
      <c r="J1549" s="1480" t="str">
        <f t="shared" si="241"/>
        <v>F</v>
      </c>
      <c r="K1549" s="1480" t="str">
        <f t="shared" si="239"/>
        <v>Incentives</v>
      </c>
      <c r="L1549" s="1480"/>
      <c r="M1549" s="1480"/>
      <c r="N1549" s="1480"/>
      <c r="O1549" s="1477"/>
      <c r="P1549" s="1477"/>
      <c r="Q1549" s="1477"/>
      <c r="R1549" s="1480" t="s">
        <v>1165</v>
      </c>
      <c r="S1549" s="1477"/>
      <c r="T1549" s="1480" t="str">
        <f>IF(Q1214="Yes",M1214,"")</f>
        <v/>
      </c>
      <c r="U1549" s="1477"/>
      <c r="V1549" s="1477"/>
      <c r="W1549" s="1477"/>
      <c r="X1549" s="1477"/>
      <c r="Y1549" s="1477"/>
      <c r="Z1549" s="1477"/>
    </row>
    <row r="1550" spans="1:26" hidden="1" x14ac:dyDescent="0.25">
      <c r="A1550" s="924" t="s">
        <v>1401</v>
      </c>
      <c r="B1550" s="1427" t="str">
        <f>IFERROR(_xlfn.CONCAT("D",('Configurable Tab'!$C$22+4)),"")</f>
        <v>D221</v>
      </c>
      <c r="C1550" s="1427" t="str">
        <f>IFERROR(_xlfn.CONCAT("E",('Configurable Tab'!$C$22+4)),"")</f>
        <v>E221</v>
      </c>
      <c r="D1550" s="1480" t="s">
        <v>1365</v>
      </c>
      <c r="E1550" s="867" t="s">
        <v>1806</v>
      </c>
      <c r="F1550" s="1480"/>
      <c r="G1550" s="1480"/>
      <c r="H1550" s="1480"/>
      <c r="I1550" s="1427" t="str">
        <f t="shared" si="240"/>
        <v>Incentive Effective Date</v>
      </c>
      <c r="J1550" s="1480" t="str">
        <f t="shared" si="241"/>
        <v>F</v>
      </c>
      <c r="K1550" s="1480" t="str">
        <f t="shared" si="239"/>
        <v>Incentives</v>
      </c>
      <c r="L1550" s="1480"/>
      <c r="M1550" s="1480"/>
      <c r="N1550" s="1480"/>
      <c r="O1550" s="1477"/>
      <c r="P1550" s="1477"/>
      <c r="Q1550" s="1477"/>
      <c r="R1550" s="1480" t="s">
        <v>1165</v>
      </c>
      <c r="S1550" s="1477"/>
      <c r="T1550" s="1480" t="str">
        <f>IF(Q1215="Yes",M1216,"")</f>
        <v/>
      </c>
      <c r="U1550" s="1477"/>
      <c r="V1550" s="1477"/>
      <c r="W1550" s="1477"/>
      <c r="X1550" s="1477"/>
      <c r="Y1550" s="1477"/>
      <c r="Z1550" s="1477"/>
    </row>
    <row r="1551" spans="1:26" hidden="1" x14ac:dyDescent="0.25">
      <c r="A1551" s="924" t="s">
        <v>1402</v>
      </c>
      <c r="B1551" s="1427" t="str">
        <f>IFERROR(_xlfn.CONCAT("D",('Configurable Tab'!$C$22+5)),"")</f>
        <v>D222</v>
      </c>
      <c r="C1551" s="1427" t="str">
        <f>IFERROR(_xlfn.CONCAT("E",('Configurable Tab'!$C$22+5)),"")</f>
        <v>E222</v>
      </c>
      <c r="D1551" s="1480" t="s">
        <v>1365</v>
      </c>
      <c r="E1551" s="867" t="s">
        <v>1806</v>
      </c>
      <c r="F1551" s="1480"/>
      <c r="G1551" s="1480"/>
      <c r="H1551" s="1480"/>
      <c r="I1551" s="1427" t="str">
        <f t="shared" si="240"/>
        <v>Incentive Expiration Date</v>
      </c>
      <c r="J1551" s="1480" t="str">
        <f t="shared" si="241"/>
        <v>F</v>
      </c>
      <c r="K1551" s="1480" t="str">
        <f t="shared" si="239"/>
        <v>Incentives</v>
      </c>
      <c r="L1551" s="1480"/>
      <c r="M1551" s="1480"/>
      <c r="N1551" s="1480"/>
      <c r="O1551" s="1477"/>
      <c r="P1551" s="1477"/>
      <c r="Q1551" s="1477"/>
      <c r="R1551" s="1480" t="s">
        <v>1165</v>
      </c>
      <c r="S1551" s="1477"/>
      <c r="T1551" s="1480" t="str">
        <f>IF(Q1216="Yes",M1217,"")</f>
        <v/>
      </c>
      <c r="U1551" s="1477"/>
      <c r="V1551" s="1477"/>
      <c r="W1551" s="1477"/>
      <c r="X1551" s="1477"/>
      <c r="Y1551" s="1477"/>
      <c r="Z1551" s="1477"/>
    </row>
    <row r="1552" spans="1:26" hidden="1" x14ac:dyDescent="0.25">
      <c r="A1552" s="924" t="s">
        <v>1397</v>
      </c>
      <c r="B1552" s="1427" t="str">
        <f>IFERROR(_xlfn.CONCAT("I",('Configurable Tab'!$C$22+1)),"")</f>
        <v>I218</v>
      </c>
      <c r="C1552" s="1427" t="str">
        <f>IFERROR(_xlfn.CONCAT("I",('Configurable Tab'!$C$22+2)),"")</f>
        <v>I219</v>
      </c>
      <c r="D1552" s="1480" t="s">
        <v>1365</v>
      </c>
      <c r="E1552" s="867" t="s">
        <v>1806</v>
      </c>
      <c r="F1552" s="1480"/>
      <c r="G1552" s="1480"/>
      <c r="H1552" s="1480"/>
      <c r="I1552" s="1427" t="str">
        <f t="shared" si="240"/>
        <v>Payment Method</v>
      </c>
      <c r="J1552" s="1480" t="str">
        <f t="shared" si="241"/>
        <v>F</v>
      </c>
      <c r="K1552" s="1480" t="str">
        <f t="shared" si="239"/>
        <v>Incentives</v>
      </c>
      <c r="L1552" s="1480"/>
      <c r="M1552" s="1480"/>
      <c r="N1552" s="1480"/>
      <c r="O1552" s="1477"/>
      <c r="P1552" s="1477"/>
      <c r="Q1552" s="1477"/>
      <c r="R1552" s="1480" t="s">
        <v>1165</v>
      </c>
      <c r="S1552" s="1477"/>
      <c r="T1552" s="1480" t="str">
        <f>IF(Q1217="Yes",M1215,"")</f>
        <v/>
      </c>
      <c r="U1552" s="1477"/>
      <c r="V1552" s="1477"/>
      <c r="W1552" s="1477"/>
      <c r="X1552" s="1477"/>
      <c r="Y1552" s="1477"/>
      <c r="Z1552" s="1477"/>
    </row>
    <row r="1553" spans="1:26" hidden="1" x14ac:dyDescent="0.25">
      <c r="A1553" s="924" t="s">
        <v>1405</v>
      </c>
      <c r="B1553" s="1427" t="str">
        <f>IFERROR(_xlfn.CONCAT("K",('Configurable Tab'!$C$22+4)),"")</f>
        <v>K221</v>
      </c>
      <c r="C1553" s="1427" t="str">
        <f>IFERROR(_xlfn.CONCAT("K",('Configurable Tab'!$C$22+5)),"")</f>
        <v>K222</v>
      </c>
      <c r="D1553" s="1480" t="s">
        <v>1365</v>
      </c>
      <c r="E1553" s="867" t="s">
        <v>1806</v>
      </c>
      <c r="F1553" s="1480"/>
      <c r="G1553" s="1480"/>
      <c r="H1553" s="1480"/>
      <c r="I1553" s="1427" t="str">
        <f t="shared" ca="1" si="240"/>
        <v>Rate % of Sales</v>
      </c>
      <c r="J1553" s="1480" t="str">
        <f t="shared" ca="1" si="241"/>
        <v>F</v>
      </c>
      <c r="K1553" s="1480" t="str">
        <f t="shared" ca="1" si="239"/>
        <v>Incentives</v>
      </c>
      <c r="L1553" s="1480"/>
      <c r="M1553" s="1480"/>
      <c r="N1553" s="1480"/>
      <c r="O1553" s="1477"/>
      <c r="P1553" s="1477"/>
      <c r="Q1553" s="1477"/>
      <c r="R1553" s="1480" t="s">
        <v>1165</v>
      </c>
      <c r="S1553" s="1477"/>
      <c r="T1553" s="1480" t="str">
        <f ca="1">IF(Q1218="Yes",M1219,"")</f>
        <v/>
      </c>
      <c r="U1553" s="1477"/>
      <c r="V1553" s="1477"/>
      <c r="W1553" s="1477"/>
      <c r="X1553" s="1477"/>
      <c r="Y1553" s="1477"/>
      <c r="Z1553" s="1477"/>
    </row>
    <row r="1554" spans="1:26" hidden="1"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80"/>
      <c r="K1554" s="1480"/>
      <c r="L1554" s="1480"/>
      <c r="M1554" s="1480"/>
      <c r="N1554" s="1480"/>
      <c r="O1554" s="1477"/>
      <c r="P1554" s="1477"/>
      <c r="Q1554" s="1477"/>
      <c r="R1554" s="1477"/>
      <c r="S1554" s="1477"/>
      <c r="T1554" s="1477"/>
      <c r="U1554" s="1477"/>
      <c r="V1554" s="1477"/>
      <c r="W1554" s="1477"/>
      <c r="X1554" s="1477"/>
      <c r="Y1554" s="1477"/>
      <c r="Z1554" s="1477"/>
    </row>
    <row r="1555" spans="1:26" hidden="1"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80"/>
      <c r="K1555" s="1480"/>
      <c r="L1555" s="1480"/>
      <c r="M1555" s="1480"/>
      <c r="N1555" s="1480"/>
      <c r="O1555" s="1477"/>
      <c r="P1555" s="1477"/>
      <c r="Q1555" s="1477"/>
      <c r="R1555" s="1477"/>
      <c r="S1555" s="1477"/>
      <c r="T1555" s="1477"/>
      <c r="U1555" s="1477"/>
      <c r="V1555" s="1477"/>
      <c r="W1555" s="1477"/>
      <c r="X1555" s="1477"/>
      <c r="Y1555" s="1477"/>
      <c r="Z1555" s="1477"/>
    </row>
    <row r="1556" spans="1:26" hidden="1"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80"/>
      <c r="K1556" s="1480"/>
      <c r="L1556" s="1480"/>
      <c r="M1556" s="1480"/>
      <c r="N1556" s="1480"/>
      <c r="O1556" s="1477"/>
      <c r="P1556" s="1477"/>
      <c r="Q1556" s="1477"/>
      <c r="R1556" s="1477"/>
      <c r="S1556" s="1477"/>
      <c r="T1556" s="1477"/>
      <c r="U1556" s="1477"/>
      <c r="V1556" s="1477"/>
      <c r="W1556" s="1477"/>
      <c r="X1556" s="1477"/>
      <c r="Y1556" s="1477"/>
      <c r="Z1556" s="1477"/>
    </row>
    <row r="1557" spans="1:26" hidden="1"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80"/>
      <c r="K1557" s="1480"/>
      <c r="L1557" s="1480"/>
      <c r="M1557" s="1480"/>
      <c r="N1557" s="1480"/>
      <c r="O1557" s="1477"/>
      <c r="P1557" s="1477"/>
      <c r="Q1557" s="1477"/>
      <c r="R1557" s="1477"/>
      <c r="S1557" s="1477"/>
      <c r="T1557" s="1477"/>
      <c r="U1557" s="1477"/>
      <c r="V1557" s="1477"/>
      <c r="W1557" s="1477"/>
      <c r="X1557" s="1477"/>
      <c r="Y1557" s="1477"/>
      <c r="Z1557" s="1477"/>
    </row>
    <row r="1558" spans="1:26" hidden="1"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80"/>
      <c r="K1558" s="1480"/>
      <c r="L1558" s="1480"/>
      <c r="M1558" s="1480"/>
      <c r="N1558" s="1480"/>
      <c r="O1558" s="1477"/>
      <c r="P1558" s="1477"/>
      <c r="Q1558" s="1477"/>
      <c r="R1558" s="1477"/>
      <c r="S1558" s="1477"/>
      <c r="T1558" s="1477"/>
      <c r="U1558" s="1477"/>
      <c r="V1558" s="1477"/>
      <c r="W1558" s="1477"/>
      <c r="X1558" s="1477"/>
      <c r="Y1558" s="1477"/>
      <c r="Z1558" s="1477"/>
    </row>
    <row r="1559" spans="1:26" hidden="1"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80"/>
      <c r="K1559" s="1480"/>
      <c r="L1559" s="1480"/>
      <c r="M1559" s="1480"/>
      <c r="N1559" s="1480"/>
      <c r="O1559" s="1477"/>
      <c r="P1559" s="1477"/>
      <c r="Q1559" s="1477"/>
      <c r="R1559" s="1477"/>
      <c r="S1559" s="1477"/>
      <c r="T1559" s="1477"/>
      <c r="U1559" s="1477"/>
      <c r="V1559" s="1477"/>
      <c r="W1559" s="1477"/>
      <c r="X1559" s="1477"/>
      <c r="Y1559" s="1477"/>
      <c r="Z1559" s="1477"/>
    </row>
    <row r="1560" spans="1:26" hidden="1"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80"/>
      <c r="K1560" s="1480"/>
      <c r="L1560" s="1480"/>
      <c r="M1560" s="1480"/>
      <c r="N1560" s="1480"/>
      <c r="O1560" s="1477"/>
      <c r="P1560" s="1477"/>
      <c r="Q1560" s="1477"/>
      <c r="R1560" s="1477"/>
      <c r="S1560" s="1477"/>
      <c r="T1560" s="1477"/>
      <c r="U1560" s="1477"/>
      <c r="V1560" s="1477"/>
      <c r="W1560" s="1477"/>
      <c r="X1560" s="1477"/>
      <c r="Y1560" s="1477"/>
      <c r="Z1560" s="1477"/>
    </row>
    <row r="1561" spans="1:26" hidden="1"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80"/>
      <c r="K1561" s="1480"/>
      <c r="L1561" s="1480"/>
      <c r="M1561" s="1480"/>
      <c r="N1561" s="1480"/>
      <c r="O1561" s="1477"/>
      <c r="P1561" s="1477"/>
      <c r="Q1561" s="1477"/>
      <c r="R1561" s="1477"/>
      <c r="S1561" s="1477"/>
      <c r="T1561" s="1477"/>
      <c r="U1561" s="1477"/>
      <c r="V1561" s="1477"/>
      <c r="W1561" s="1477"/>
      <c r="X1561" s="1477"/>
      <c r="Y1561" s="1477"/>
      <c r="Z1561" s="1477"/>
    </row>
    <row r="1562" spans="1:26" hidden="1"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80"/>
      <c r="K1562" s="1480"/>
      <c r="L1562" s="1480"/>
      <c r="M1562" s="1480"/>
      <c r="N1562" s="1480"/>
      <c r="O1562" s="1477"/>
      <c r="P1562" s="1477"/>
      <c r="Q1562" s="1477"/>
      <c r="R1562" s="1477"/>
      <c r="S1562" s="1477"/>
      <c r="T1562" s="1477"/>
      <c r="U1562" s="1477"/>
      <c r="V1562" s="1477"/>
      <c r="W1562" s="1477"/>
      <c r="X1562" s="1477"/>
      <c r="Y1562" s="1477"/>
      <c r="Z1562" s="1477"/>
    </row>
    <row r="1563" spans="1:26" hidden="1"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80"/>
      <c r="K1563" s="1480"/>
      <c r="L1563" s="1480"/>
      <c r="M1563" s="1480"/>
      <c r="N1563" s="1480"/>
      <c r="O1563" s="1477"/>
      <c r="P1563" s="1477"/>
      <c r="Q1563" s="1477"/>
      <c r="R1563" s="1477"/>
      <c r="S1563" s="1477"/>
      <c r="T1563" s="1477"/>
      <c r="U1563" s="1477"/>
      <c r="V1563" s="1477"/>
      <c r="W1563" s="1477"/>
      <c r="X1563" s="1477"/>
      <c r="Y1563" s="1477"/>
      <c r="Z1563" s="1477"/>
    </row>
    <row r="1564" spans="1:26" hidden="1"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80"/>
      <c r="K1564" s="1480"/>
      <c r="L1564" s="1480"/>
      <c r="M1564" s="1480"/>
      <c r="N1564" s="1480"/>
      <c r="O1564" s="1477"/>
      <c r="P1564" s="1477"/>
      <c r="Q1564" s="1477"/>
      <c r="R1564" s="1477"/>
      <c r="S1564" s="1477"/>
      <c r="T1564" s="1477"/>
      <c r="U1564" s="1477"/>
      <c r="V1564" s="1477"/>
      <c r="W1564" s="1477"/>
      <c r="X1564" s="1477"/>
      <c r="Y1564" s="1477"/>
      <c r="Z1564" s="1477"/>
    </row>
    <row r="1565" spans="1:26" hidden="1"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80"/>
      <c r="K1565" s="1480"/>
      <c r="L1565" s="1480"/>
      <c r="M1565" s="1480"/>
      <c r="N1565" s="1480"/>
      <c r="O1565" s="1477"/>
      <c r="P1565" s="1477"/>
      <c r="Q1565" s="1477"/>
      <c r="R1565" s="1477"/>
      <c r="S1565" s="1477"/>
      <c r="T1565" s="1477"/>
      <c r="U1565" s="1477"/>
      <c r="V1565" s="1477"/>
      <c r="W1565" s="1477"/>
      <c r="X1565" s="1477"/>
      <c r="Y1565" s="1477"/>
      <c r="Z1565" s="1477"/>
    </row>
    <row r="1566" spans="1:26" hidden="1"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80"/>
      <c r="K1566" s="1480"/>
      <c r="L1566" s="1480"/>
      <c r="M1566" s="1480"/>
      <c r="N1566" s="1480"/>
      <c r="O1566" s="1477"/>
      <c r="P1566" s="1477"/>
      <c r="Q1566" s="1477"/>
      <c r="R1566" s="1477"/>
      <c r="S1566" s="1477"/>
      <c r="T1566" s="1477"/>
      <c r="U1566" s="1477"/>
      <c r="V1566" s="1477"/>
      <c r="W1566" s="1477"/>
      <c r="X1566" s="1477"/>
      <c r="Y1566" s="1477"/>
      <c r="Z1566" s="1477"/>
    </row>
    <row r="1567" spans="1:26" hidden="1"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80"/>
      <c r="K1567" s="1480"/>
      <c r="L1567" s="1480"/>
      <c r="M1567" s="1480"/>
      <c r="N1567" s="1480"/>
      <c r="O1567" s="1477"/>
      <c r="P1567" s="1477"/>
      <c r="Q1567" s="1477"/>
      <c r="R1567" s="1477"/>
      <c r="S1567" s="1477"/>
      <c r="T1567" s="1477"/>
      <c r="U1567" s="1477"/>
      <c r="V1567" s="1477"/>
      <c r="W1567" s="1477"/>
      <c r="X1567" s="1477"/>
      <c r="Y1567" s="1477"/>
      <c r="Z1567" s="1477"/>
    </row>
    <row r="1568" spans="1:26" hidden="1"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7"/>
      <c r="J1568" s="1480"/>
      <c r="K1568" s="1480"/>
      <c r="L1568" s="1480"/>
      <c r="M1568" s="1480"/>
      <c r="N1568" s="1480"/>
      <c r="O1568" s="1477"/>
      <c r="P1568" s="1477"/>
      <c r="Q1568" s="1477"/>
      <c r="R1568" s="1477"/>
      <c r="S1568" s="1477"/>
      <c r="T1568" s="1477"/>
      <c r="U1568" s="1477"/>
      <c r="V1568" s="1477"/>
      <c r="W1568" s="1477"/>
      <c r="X1568" s="1477"/>
      <c r="Y1568" s="1477"/>
      <c r="Z1568" s="1477"/>
    </row>
    <row r="1569" spans="1:26" hidden="1"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7"/>
      <c r="J1569" s="1480"/>
      <c r="K1569" s="1480"/>
      <c r="L1569" s="1480"/>
      <c r="M1569" s="1480"/>
      <c r="N1569" s="1480"/>
      <c r="O1569" s="1477"/>
      <c r="P1569" s="1477"/>
      <c r="Q1569" s="1477"/>
      <c r="R1569" s="1477"/>
      <c r="S1569" s="1477"/>
      <c r="T1569" s="1477"/>
      <c r="U1569" s="1477"/>
      <c r="V1569" s="1477"/>
      <c r="W1569" s="1477"/>
      <c r="X1569" s="1477"/>
      <c r="Y1569" s="1477"/>
      <c r="Z1569" s="1477"/>
    </row>
    <row r="1570" spans="1:26" hidden="1"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80"/>
      <c r="K1570" s="1480"/>
      <c r="L1570" s="1480"/>
      <c r="M1570" s="1480"/>
      <c r="N1570" s="1480"/>
      <c r="O1570" s="1477"/>
      <c r="P1570" s="1477"/>
      <c r="Q1570" s="1477"/>
      <c r="R1570" s="1477"/>
      <c r="S1570" s="1477"/>
      <c r="T1570" s="1477"/>
      <c r="U1570" s="1477"/>
      <c r="V1570" s="1477"/>
      <c r="W1570" s="1477"/>
      <c r="X1570" s="1477"/>
      <c r="Y1570" s="1477"/>
      <c r="Z1570" s="1477"/>
    </row>
    <row r="1571" spans="1:26" hidden="1"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80"/>
      <c r="K1571" s="1480"/>
      <c r="L1571" s="1480"/>
      <c r="M1571" s="1480"/>
      <c r="N1571" s="1480"/>
      <c r="O1571" s="1477"/>
      <c r="P1571" s="1477"/>
      <c r="Q1571" s="1477"/>
      <c r="R1571" s="1477"/>
      <c r="S1571" s="1477"/>
      <c r="T1571" s="1477"/>
      <c r="U1571" s="1477"/>
      <c r="V1571" s="1477"/>
      <c r="W1571" s="1477"/>
      <c r="X1571" s="1477"/>
      <c r="Y1571" s="1477"/>
      <c r="Z1571" s="1477"/>
    </row>
    <row r="1572" spans="1:26" hidden="1"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80"/>
      <c r="K1572" s="1480"/>
      <c r="L1572" s="1480"/>
      <c r="M1572" s="1480"/>
      <c r="N1572" s="1480"/>
      <c r="O1572" s="1477"/>
      <c r="P1572" s="1477"/>
      <c r="Q1572" s="1477"/>
      <c r="R1572" s="1477"/>
      <c r="S1572" s="1477"/>
      <c r="T1572" s="1477"/>
      <c r="U1572" s="1477"/>
      <c r="V1572" s="1477"/>
      <c r="W1572" s="1477"/>
      <c r="X1572" s="1477"/>
      <c r="Y1572" s="1477"/>
      <c r="Z1572" s="1477"/>
    </row>
    <row r="1573" spans="1:26" hidden="1"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80"/>
      <c r="K1573" s="1480"/>
      <c r="L1573" s="1480"/>
      <c r="M1573" s="1480"/>
      <c r="N1573" s="1480"/>
      <c r="O1573" s="1477"/>
      <c r="P1573" s="1477"/>
      <c r="Q1573" s="1477"/>
      <c r="R1573" s="1477"/>
      <c r="S1573" s="1477"/>
      <c r="T1573" s="1477"/>
      <c r="U1573" s="1477"/>
      <c r="V1573" s="1477"/>
      <c r="W1573" s="1477"/>
      <c r="X1573" s="1477"/>
      <c r="Y1573" s="1477"/>
      <c r="Z1573" s="1477"/>
    </row>
    <row r="1574" spans="1:26" hidden="1"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80"/>
      <c r="K1574" s="1480"/>
      <c r="L1574" s="1480"/>
      <c r="M1574" s="1480"/>
      <c r="N1574" s="1480"/>
      <c r="O1574" s="1477"/>
      <c r="P1574" s="1477"/>
      <c r="Q1574" s="1477"/>
      <c r="R1574" s="1477"/>
      <c r="S1574" s="1477"/>
      <c r="T1574" s="1477"/>
      <c r="U1574" s="1477"/>
      <c r="V1574" s="1477"/>
      <c r="W1574" s="1477"/>
      <c r="X1574" s="1477"/>
      <c r="Y1574" s="1477"/>
      <c r="Z1574" s="1477"/>
    </row>
    <row r="1575" spans="1:26" hidden="1"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80"/>
      <c r="K1575" s="1480"/>
      <c r="L1575" s="1480"/>
      <c r="M1575" s="1480"/>
      <c r="N1575" s="1480"/>
      <c r="O1575" s="1477"/>
      <c r="P1575" s="1477"/>
      <c r="Q1575" s="1477"/>
      <c r="R1575" s="1477"/>
      <c r="S1575" s="1477"/>
      <c r="T1575" s="1477"/>
      <c r="U1575" s="1477"/>
      <c r="V1575" s="1477"/>
      <c r="W1575" s="1477"/>
      <c r="X1575" s="1477"/>
      <c r="Y1575" s="1477"/>
      <c r="Z1575" s="1477"/>
    </row>
    <row r="1576" spans="1:26" hidden="1"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80"/>
      <c r="K1576" s="1480"/>
      <c r="L1576" s="1480"/>
      <c r="M1576" s="1480"/>
      <c r="N1576" s="1480"/>
      <c r="O1576" s="1477"/>
      <c r="P1576" s="1477"/>
      <c r="Q1576" s="1477"/>
      <c r="R1576" s="1477"/>
      <c r="S1576" s="1477"/>
      <c r="T1576" s="1477"/>
      <c r="U1576" s="1477"/>
      <c r="V1576" s="1477"/>
      <c r="W1576" s="1477"/>
      <c r="X1576" s="1477"/>
      <c r="Y1576" s="1477"/>
      <c r="Z1576" s="1477"/>
    </row>
    <row r="1577" spans="1:26" hidden="1"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80"/>
      <c r="K1577" s="1480"/>
      <c r="L1577" s="1480"/>
      <c r="M1577" s="1480"/>
      <c r="N1577" s="1480"/>
      <c r="O1577" s="1477"/>
      <c r="P1577" s="1477"/>
      <c r="Q1577" s="1477"/>
      <c r="R1577" s="1477"/>
      <c r="S1577" s="1477"/>
      <c r="T1577" s="1477"/>
      <c r="U1577" s="1477"/>
      <c r="V1577" s="1477"/>
      <c r="W1577" s="1477"/>
      <c r="X1577" s="1477"/>
      <c r="Y1577" s="1477"/>
      <c r="Z1577" s="1477"/>
    </row>
    <row r="1578" spans="1:26" hidden="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80"/>
      <c r="K1578" s="1480"/>
      <c r="L1578" s="1480"/>
      <c r="M1578" s="1480"/>
      <c r="N1578" s="1480"/>
      <c r="O1578" s="1477"/>
      <c r="P1578" s="1477"/>
      <c r="Q1578" s="1477"/>
      <c r="R1578" s="1477"/>
      <c r="S1578" s="1477"/>
      <c r="T1578" s="1477"/>
      <c r="U1578" s="1477"/>
      <c r="V1578" s="1477"/>
      <c r="W1578" s="1477"/>
      <c r="X1578" s="1477"/>
      <c r="Y1578" s="1477"/>
      <c r="Z1578" s="1477"/>
    </row>
    <row r="1579" spans="1:26" hidden="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80"/>
      <c r="K1579" s="1480"/>
      <c r="L1579" s="1480"/>
      <c r="M1579" s="1480"/>
      <c r="N1579" s="1480"/>
      <c r="O1579" s="1477"/>
      <c r="P1579" s="1477"/>
      <c r="Q1579" s="1477"/>
      <c r="R1579" s="1477"/>
      <c r="S1579" s="1477"/>
      <c r="T1579" s="1477"/>
      <c r="U1579" s="1477"/>
      <c r="V1579" s="1477"/>
      <c r="W1579" s="1477"/>
      <c r="X1579" s="1477"/>
      <c r="Y1579" s="1477"/>
      <c r="Z1579" s="1477"/>
    </row>
    <row r="1580" spans="1:26" hidden="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80"/>
      <c r="K1580" s="1480"/>
      <c r="L1580" s="1480"/>
      <c r="M1580" s="1480"/>
      <c r="N1580" s="1480"/>
      <c r="O1580" s="1477"/>
      <c r="P1580" s="1477"/>
      <c r="Q1580" s="1477"/>
      <c r="R1580" s="1477"/>
      <c r="S1580" s="1477"/>
      <c r="T1580" s="1477"/>
      <c r="U1580" s="1477"/>
      <c r="V1580" s="1477"/>
      <c r="W1580" s="1477"/>
      <c r="X1580" s="1477"/>
      <c r="Y1580" s="1477"/>
      <c r="Z1580" s="1477"/>
    </row>
    <row r="1581" spans="1:26" hidden="1"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80"/>
      <c r="K1581" s="1480"/>
      <c r="L1581" s="1480"/>
      <c r="M1581" s="1480"/>
      <c r="N1581" s="1480"/>
      <c r="O1581" s="1477"/>
      <c r="P1581" s="1477"/>
      <c r="Q1581" s="1477"/>
      <c r="R1581" s="1477"/>
      <c r="S1581" s="1477"/>
      <c r="T1581" s="1477"/>
      <c r="U1581" s="1477"/>
      <c r="V1581" s="1477"/>
      <c r="W1581" s="1477"/>
      <c r="X1581" s="1477"/>
      <c r="Y1581" s="1477"/>
      <c r="Z1581" s="1477"/>
    </row>
    <row r="1582" spans="1:26" hidden="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80"/>
      <c r="K1582" s="1480"/>
      <c r="L1582" s="1480"/>
      <c r="M1582" s="1480"/>
      <c r="N1582" s="1480"/>
      <c r="O1582" s="1477"/>
      <c r="P1582" s="1477"/>
      <c r="Q1582" s="1477"/>
      <c r="R1582" s="1477"/>
      <c r="S1582" s="1477"/>
      <c r="T1582" s="1477"/>
      <c r="U1582" s="1477"/>
      <c r="V1582" s="1477"/>
      <c r="W1582" s="1477"/>
      <c r="X1582" s="1477"/>
      <c r="Y1582" s="1477"/>
      <c r="Z1582" s="1477"/>
    </row>
    <row r="1583" spans="1:26" hidden="1"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7"/>
      <c r="J1583" s="1480"/>
      <c r="K1583" s="1480"/>
      <c r="L1583" s="1480"/>
      <c r="M1583" s="1480"/>
      <c r="N1583" s="1480"/>
      <c r="O1583" s="1477"/>
      <c r="P1583" s="1477"/>
      <c r="Q1583" s="1477"/>
      <c r="R1583" s="1477"/>
      <c r="S1583" s="1477"/>
      <c r="T1583" s="1477"/>
      <c r="U1583" s="1477"/>
      <c r="V1583" s="1477"/>
      <c r="W1583" s="1477"/>
      <c r="X1583" s="1477"/>
      <c r="Y1583" s="1477"/>
      <c r="Z1583" s="1477"/>
    </row>
    <row r="1584" spans="1:26" hidden="1"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7"/>
      <c r="J1584" s="1480"/>
      <c r="K1584" s="1480"/>
      <c r="L1584" s="1480"/>
      <c r="M1584" s="1480"/>
      <c r="N1584" s="1480"/>
      <c r="O1584" s="1477"/>
      <c r="P1584" s="1477"/>
      <c r="Q1584" s="1477"/>
      <c r="R1584" s="1477"/>
      <c r="S1584" s="1477"/>
      <c r="T1584" s="1477"/>
      <c r="U1584" s="1477"/>
      <c r="V1584" s="1477"/>
      <c r="W1584" s="1477"/>
      <c r="X1584" s="1477"/>
      <c r="Y1584" s="1477"/>
      <c r="Z1584" s="1477"/>
    </row>
    <row r="1585" spans="1:26" hidden="1"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7"/>
      <c r="J1585" s="1480"/>
      <c r="K1585" s="1480"/>
      <c r="L1585" s="1480"/>
      <c r="M1585" s="1480"/>
      <c r="N1585" s="1480"/>
      <c r="O1585" s="1477"/>
      <c r="P1585" s="1477"/>
      <c r="Q1585" s="1477"/>
      <c r="R1585" s="1477"/>
      <c r="S1585" s="1477"/>
      <c r="T1585" s="1477"/>
      <c r="U1585" s="1477"/>
      <c r="V1585" s="1477"/>
      <c r="W1585" s="1477"/>
      <c r="X1585" s="1477"/>
      <c r="Y1585" s="1477"/>
      <c r="Z1585" s="1477"/>
    </row>
    <row r="1586" spans="1:26" hidden="1"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7"/>
      <c r="J1586" s="1480"/>
      <c r="K1586" s="1480"/>
      <c r="L1586" s="1480"/>
      <c r="M1586" s="1480"/>
      <c r="N1586" s="1480"/>
      <c r="O1586" s="1477"/>
      <c r="P1586" s="1477"/>
      <c r="Q1586" s="1477"/>
      <c r="R1586" s="1477"/>
      <c r="S1586" s="1477"/>
      <c r="T1586" s="1477"/>
      <c r="U1586" s="1477"/>
      <c r="V1586" s="1477"/>
      <c r="W1586" s="1477"/>
      <c r="X1586" s="1477"/>
      <c r="Y1586" s="1477"/>
      <c r="Z1586" s="1477"/>
    </row>
    <row r="1587" spans="1:26" hidden="1"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7"/>
      <c r="J1587" s="1480"/>
      <c r="K1587" s="1480"/>
      <c r="L1587" s="1480"/>
      <c r="M1587" s="1480"/>
      <c r="N1587" s="1480"/>
      <c r="O1587" s="1477"/>
      <c r="P1587" s="1477"/>
      <c r="Q1587" s="1477"/>
      <c r="R1587" s="1477"/>
      <c r="S1587" s="1477"/>
      <c r="T1587" s="1477"/>
      <c r="U1587" s="1477"/>
      <c r="V1587" s="1477"/>
      <c r="W1587" s="1477"/>
      <c r="X1587" s="1477"/>
      <c r="Y1587" s="1477"/>
      <c r="Z1587" s="1477"/>
    </row>
    <row r="1588" spans="1:26" hidden="1"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7"/>
      <c r="J1588" s="1480"/>
      <c r="K1588" s="1480"/>
      <c r="L1588" s="1480"/>
      <c r="M1588" s="1480"/>
      <c r="N1588" s="1480"/>
      <c r="O1588" s="1477"/>
      <c r="P1588" s="1477"/>
      <c r="Q1588" s="1477"/>
      <c r="R1588" s="1477"/>
      <c r="S1588" s="1477"/>
      <c r="T1588" s="1477"/>
      <c r="U1588" s="1477"/>
      <c r="V1588" s="1477"/>
      <c r="W1588" s="1477"/>
      <c r="X1588" s="1477"/>
      <c r="Y1588" s="1477"/>
      <c r="Z1588" s="1477"/>
    </row>
    <row r="1589" spans="1:26" hidden="1"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7"/>
      <c r="J1589" s="1480"/>
      <c r="K1589" s="1480"/>
      <c r="L1589" s="1480"/>
      <c r="M1589" s="1480"/>
      <c r="N1589" s="1480"/>
      <c r="O1589" s="1477"/>
      <c r="P1589" s="1477"/>
      <c r="Q1589" s="1477"/>
      <c r="R1589" s="1477"/>
      <c r="S1589" s="1477"/>
      <c r="T1589" s="1477"/>
      <c r="U1589" s="1477"/>
      <c r="V1589" s="1477"/>
      <c r="W1589" s="1477"/>
      <c r="X1589" s="1477"/>
      <c r="Y1589" s="1477"/>
      <c r="Z1589" s="1477"/>
    </row>
    <row r="1590" spans="1:26" hidden="1"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7"/>
      <c r="J1590" s="1480"/>
      <c r="K1590" s="1480"/>
      <c r="L1590" s="1480"/>
      <c r="M1590" s="1480"/>
      <c r="N1590" s="1480"/>
      <c r="O1590" s="1477"/>
      <c r="P1590" s="1477"/>
      <c r="Q1590" s="1477"/>
      <c r="R1590" s="1477"/>
      <c r="S1590" s="1477"/>
      <c r="T1590" s="1477"/>
      <c r="U1590" s="1477"/>
      <c r="V1590" s="1477"/>
      <c r="W1590" s="1477"/>
      <c r="X1590" s="1477"/>
      <c r="Y1590" s="1477"/>
      <c r="Z1590" s="1477"/>
    </row>
    <row r="1591" spans="1:26" hidden="1"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7"/>
      <c r="J1591" s="1480"/>
      <c r="K1591" s="1480"/>
      <c r="L1591" s="1480"/>
      <c r="M1591" s="1480"/>
      <c r="N1591" s="1480"/>
      <c r="O1591" s="1477"/>
      <c r="P1591" s="1477"/>
      <c r="Q1591" s="1477"/>
      <c r="R1591" s="1477"/>
      <c r="S1591" s="1477"/>
      <c r="T1591" s="1477"/>
      <c r="U1591" s="1477"/>
      <c r="V1591" s="1477"/>
      <c r="W1591" s="1477"/>
      <c r="X1591" s="1477"/>
      <c r="Y1591" s="1477"/>
      <c r="Z1591" s="1477"/>
    </row>
    <row r="1592" spans="1:26" hidden="1"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80"/>
      <c r="K1592" s="1480"/>
      <c r="L1592" s="1480"/>
      <c r="M1592" s="1480"/>
      <c r="N1592" s="1480"/>
      <c r="O1592" s="1477"/>
      <c r="P1592" s="1477"/>
      <c r="Q1592" s="1477"/>
      <c r="R1592" s="1477"/>
      <c r="S1592" s="1477"/>
      <c r="T1592" s="1477"/>
      <c r="U1592" s="1477"/>
      <c r="V1592" s="1477"/>
      <c r="W1592" s="1477"/>
      <c r="X1592" s="1477"/>
      <c r="Y1592" s="1477"/>
      <c r="Z1592" s="1477"/>
    </row>
    <row r="1593" spans="1:26" hidden="1"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7"/>
      <c r="J1593" s="1480"/>
      <c r="K1593" s="1480"/>
      <c r="L1593" s="1480"/>
      <c r="M1593" s="1480"/>
      <c r="N1593" s="1480"/>
      <c r="O1593" s="1477"/>
      <c r="P1593" s="1477"/>
      <c r="Q1593" s="1477"/>
      <c r="R1593" s="1477"/>
      <c r="S1593" s="1477"/>
      <c r="T1593" s="1477"/>
      <c r="U1593" s="1477"/>
      <c r="V1593" s="1477"/>
      <c r="W1593" s="1477"/>
      <c r="X1593" s="1477"/>
      <c r="Y1593" s="1477"/>
      <c r="Z1593" s="1477"/>
    </row>
    <row r="1594" spans="1:26" hidden="1" x14ac:dyDescent="0.25">
      <c r="A1594" s="866" t="s">
        <v>1393</v>
      </c>
      <c r="B1594" s="867" t="str">
        <f t="shared" ca="1" si="244"/>
        <v>D4</v>
      </c>
      <c r="C1594" s="52" t="str">
        <f t="shared" ca="1" si="245"/>
        <v>D5</v>
      </c>
      <c r="D1594" s="867" t="s">
        <v>1365</v>
      </c>
      <c r="E1594" s="867" t="s">
        <v>1289</v>
      </c>
      <c r="F1594" s="866" t="s">
        <v>1393</v>
      </c>
      <c r="G1594" s="52" t="s">
        <v>1894</v>
      </c>
      <c r="H1594" s="52" t="s">
        <v>1847</v>
      </c>
      <c r="I1594" s="1427"/>
      <c r="J1594" s="1480"/>
      <c r="K1594" s="1480"/>
      <c r="L1594" s="1480"/>
      <c r="M1594" s="1480"/>
      <c r="N1594" s="1480"/>
      <c r="O1594" s="1477"/>
      <c r="P1594" s="1477"/>
      <c r="Q1594" s="1477"/>
      <c r="R1594" s="1477"/>
      <c r="S1594" s="1477"/>
      <c r="T1594" s="1477"/>
      <c r="U1594" s="1477"/>
      <c r="V1594" s="1477"/>
      <c r="W1594" s="1477"/>
      <c r="X1594" s="1477"/>
      <c r="Y1594" s="1477"/>
      <c r="Z1594" s="1477"/>
    </row>
    <row r="1595" spans="1:26" hidden="1" x14ac:dyDescent="0.25">
      <c r="A1595" s="866" t="s">
        <v>1277</v>
      </c>
      <c r="B1595" s="867" t="str">
        <f t="shared" ca="1" si="244"/>
        <v>E4</v>
      </c>
      <c r="C1595" s="52" t="str">
        <f t="shared" ca="1" si="245"/>
        <v>E5</v>
      </c>
      <c r="D1595" s="867" t="s">
        <v>1365</v>
      </c>
      <c r="E1595" s="867" t="s">
        <v>1289</v>
      </c>
      <c r="F1595" s="866" t="s">
        <v>1277</v>
      </c>
      <c r="G1595" s="52" t="s">
        <v>1895</v>
      </c>
      <c r="H1595" s="52" t="s">
        <v>1847</v>
      </c>
      <c r="I1595" s="1427"/>
      <c r="J1595" s="1480"/>
      <c r="K1595" s="1480"/>
      <c r="L1595" s="1480"/>
      <c r="M1595" s="1480"/>
      <c r="N1595" s="1480"/>
      <c r="O1595" s="1477"/>
      <c r="P1595" s="1477"/>
      <c r="Q1595" s="1477"/>
      <c r="R1595" s="1477"/>
      <c r="S1595" s="1477"/>
      <c r="T1595" s="1477"/>
      <c r="U1595" s="1477"/>
      <c r="V1595" s="1477"/>
      <c r="W1595" s="1477"/>
      <c r="X1595" s="1477"/>
      <c r="Y1595" s="1477"/>
      <c r="Z1595" s="1477"/>
    </row>
    <row r="1596" spans="1:26" hidden="1" x14ac:dyDescent="0.25">
      <c r="A1596" s="866" t="s">
        <v>1280</v>
      </c>
      <c r="B1596" s="867" t="str">
        <f t="shared" ca="1" si="244"/>
        <v>H4</v>
      </c>
      <c r="C1596" s="52" t="str">
        <f t="shared" ca="1" si="245"/>
        <v>H5</v>
      </c>
      <c r="D1596" s="867" t="s">
        <v>1365</v>
      </c>
      <c r="E1596" s="867" t="s">
        <v>1289</v>
      </c>
      <c r="F1596" s="866" t="s">
        <v>1280</v>
      </c>
      <c r="G1596" s="52" t="s">
        <v>1896</v>
      </c>
      <c r="H1596" s="52" t="s">
        <v>1847</v>
      </c>
      <c r="I1596" s="1427"/>
      <c r="J1596" s="1480"/>
      <c r="K1596" s="1480"/>
      <c r="L1596" s="1480"/>
      <c r="M1596" s="1480"/>
      <c r="N1596" s="1480"/>
      <c r="O1596" s="1477"/>
      <c r="P1596" s="1477"/>
      <c r="Q1596" s="1477"/>
      <c r="R1596" s="1477"/>
      <c r="S1596" s="1477"/>
      <c r="T1596" s="1477"/>
      <c r="U1596" s="1477"/>
      <c r="V1596" s="1477"/>
      <c r="W1596" s="1477"/>
      <c r="X1596" s="1477"/>
      <c r="Y1596" s="1477"/>
      <c r="Z1596" s="1477"/>
    </row>
    <row r="1597" spans="1:26" hidden="1" x14ac:dyDescent="0.25">
      <c r="A1597" s="866" t="s">
        <v>1284</v>
      </c>
      <c r="B1597" s="867" t="str">
        <f t="shared" ca="1" si="244"/>
        <v>L4</v>
      </c>
      <c r="C1597" s="52" t="str">
        <f t="shared" ca="1" si="245"/>
        <v>L5</v>
      </c>
      <c r="D1597" s="867" t="s">
        <v>1365</v>
      </c>
      <c r="E1597" s="867" t="s">
        <v>1289</v>
      </c>
      <c r="F1597" s="866" t="s">
        <v>1284</v>
      </c>
      <c r="G1597" s="52" t="s">
        <v>1897</v>
      </c>
      <c r="H1597" s="52" t="s">
        <v>1847</v>
      </c>
      <c r="I1597" s="1427"/>
      <c r="J1597" s="1480"/>
      <c r="K1597" s="1480"/>
      <c r="L1597" s="1480"/>
      <c r="M1597" s="1480"/>
      <c r="N1597" s="1480"/>
      <c r="O1597" s="1477"/>
      <c r="P1597" s="1477"/>
      <c r="Q1597" s="1477"/>
      <c r="R1597" s="1477"/>
      <c r="S1597" s="1477"/>
      <c r="T1597" s="1477"/>
      <c r="U1597" s="1477"/>
      <c r="V1597" s="1477"/>
      <c r="W1597" s="1477"/>
      <c r="X1597" s="1477"/>
      <c r="Y1597" s="1477"/>
      <c r="Z1597" s="1477"/>
    </row>
    <row r="1598" spans="1:26" hidden="1" x14ac:dyDescent="0.25">
      <c r="A1598" s="866" t="s">
        <v>1281</v>
      </c>
      <c r="B1598" s="867" t="str">
        <f t="shared" ca="1" si="244"/>
        <v>I4</v>
      </c>
      <c r="C1598" s="52" t="str">
        <f t="shared" ca="1" si="245"/>
        <v>I5</v>
      </c>
      <c r="D1598" s="867" t="s">
        <v>1365</v>
      </c>
      <c r="E1598" s="867" t="s">
        <v>1289</v>
      </c>
      <c r="F1598" s="866" t="s">
        <v>1281</v>
      </c>
      <c r="G1598" s="52" t="s">
        <v>1898</v>
      </c>
      <c r="H1598" s="52" t="s">
        <v>1847</v>
      </c>
      <c r="I1598" s="1427"/>
      <c r="J1598" s="1480"/>
      <c r="K1598" s="1480"/>
      <c r="L1598" s="1480"/>
      <c r="M1598" s="1480"/>
      <c r="N1598" s="1480"/>
      <c r="O1598" s="1477"/>
      <c r="P1598" s="1477"/>
      <c r="Q1598" s="1477"/>
      <c r="R1598" s="1477"/>
      <c r="S1598" s="1477"/>
      <c r="T1598" s="1477"/>
      <c r="U1598" s="1477"/>
      <c r="V1598" s="1477"/>
      <c r="W1598" s="1477"/>
      <c r="X1598" s="1477"/>
      <c r="Y1598" s="1477"/>
      <c r="Z1598" s="1477"/>
    </row>
    <row r="1599" spans="1:26" hidden="1" x14ac:dyDescent="0.25">
      <c r="A1599" s="866" t="s">
        <v>1282</v>
      </c>
      <c r="B1599" s="867" t="str">
        <f t="shared" ca="1" si="244"/>
        <v>J4</v>
      </c>
      <c r="C1599" s="52" t="str">
        <f t="shared" ca="1" si="245"/>
        <v>J5</v>
      </c>
      <c r="D1599" s="867" t="s">
        <v>1365</v>
      </c>
      <c r="E1599" s="867" t="s">
        <v>1289</v>
      </c>
      <c r="F1599" s="866" t="s">
        <v>1282</v>
      </c>
      <c r="G1599" s="52" t="s">
        <v>1899</v>
      </c>
      <c r="H1599" s="52" t="s">
        <v>1847</v>
      </c>
      <c r="I1599" s="1427"/>
      <c r="J1599" s="1480"/>
      <c r="K1599" s="1480"/>
      <c r="L1599" s="1480"/>
      <c r="M1599" s="1480"/>
      <c r="N1599" s="1480"/>
      <c r="O1599" s="1477"/>
      <c r="P1599" s="1477"/>
      <c r="Q1599" s="1477"/>
      <c r="R1599" s="1477"/>
      <c r="S1599" s="1477"/>
      <c r="T1599" s="1477"/>
      <c r="U1599" s="1477"/>
      <c r="V1599" s="1477"/>
      <c r="W1599" s="1477"/>
      <c r="X1599" s="1477"/>
      <c r="Y1599" s="1477"/>
      <c r="Z1599" s="1477"/>
    </row>
    <row r="1600" spans="1:26" hidden="1" x14ac:dyDescent="0.25">
      <c r="A1600" s="866" t="s">
        <v>1283</v>
      </c>
      <c r="B1600" s="867" t="str">
        <f t="shared" ca="1" si="244"/>
        <v>K4</v>
      </c>
      <c r="C1600" s="52" t="str">
        <f t="shared" ca="1" si="245"/>
        <v>K5</v>
      </c>
      <c r="D1600" s="867" t="s">
        <v>1365</v>
      </c>
      <c r="E1600" s="867" t="s">
        <v>1289</v>
      </c>
      <c r="F1600" s="866" t="s">
        <v>1283</v>
      </c>
      <c r="G1600" s="52" t="s">
        <v>1900</v>
      </c>
      <c r="H1600" s="52" t="s">
        <v>1847</v>
      </c>
      <c r="I1600" s="1427"/>
      <c r="J1600" s="1480"/>
      <c r="K1600" s="1480"/>
      <c r="L1600" s="1480"/>
      <c r="M1600" s="1480"/>
      <c r="N1600" s="1480"/>
      <c r="O1600" s="1477"/>
      <c r="P1600" s="1477"/>
      <c r="Q1600" s="1477"/>
      <c r="R1600" s="1477"/>
      <c r="S1600" s="1477"/>
      <c r="T1600" s="1477"/>
      <c r="U1600" s="1477"/>
      <c r="V1600" s="1477"/>
      <c r="W1600" s="1477"/>
      <c r="X1600" s="1477"/>
      <c r="Y1600" s="1477"/>
      <c r="Z1600" s="1477"/>
    </row>
    <row r="1601" spans="1:26" hidden="1"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46" t="s">
        <v>1301</v>
      </c>
      <c r="I1601" s="1427"/>
      <c r="J1601" s="1480"/>
      <c r="K1601" s="1480"/>
      <c r="L1601" s="1480"/>
      <c r="M1601" s="1480"/>
      <c r="N1601" s="1480"/>
      <c r="O1601" s="1477"/>
      <c r="P1601" s="1477"/>
      <c r="Q1601" s="1477"/>
      <c r="R1601" s="1477"/>
      <c r="S1601" s="1477"/>
      <c r="T1601" s="1477"/>
      <c r="U1601" s="1477"/>
      <c r="V1601" s="1477"/>
      <c r="W1601" s="1477"/>
      <c r="X1601" s="1477"/>
      <c r="Y1601" s="1477"/>
      <c r="Z1601" s="1477"/>
    </row>
    <row r="1602" spans="1:26" hidden="1"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46" t="s">
        <v>1301</v>
      </c>
      <c r="I1602" s="1427"/>
      <c r="J1602" s="1480"/>
      <c r="K1602" s="1480"/>
      <c r="L1602" s="1480"/>
      <c r="M1602" s="1480"/>
      <c r="N1602" s="1480"/>
      <c r="O1602" s="1477"/>
      <c r="P1602" s="1477"/>
      <c r="Q1602" s="1477"/>
      <c r="R1602" s="1477"/>
      <c r="S1602" s="1477"/>
      <c r="T1602" s="1477"/>
      <c r="U1602" s="1477"/>
      <c r="V1602" s="1477"/>
      <c r="W1602" s="1477"/>
      <c r="X1602" s="1477"/>
      <c r="Y1602" s="1477"/>
      <c r="Z1602" s="1477"/>
    </row>
    <row r="1603" spans="1:26" hidden="1"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46" t="s">
        <v>1301</v>
      </c>
      <c r="I1603" s="1427"/>
      <c r="J1603" s="1480"/>
      <c r="K1603" s="1480"/>
      <c r="L1603" s="1480"/>
      <c r="M1603" s="1480"/>
      <c r="N1603" s="1480"/>
      <c r="O1603" s="1477"/>
      <c r="P1603" s="1477"/>
      <c r="Q1603" s="1477"/>
      <c r="R1603" s="1477"/>
      <c r="S1603" s="1477"/>
      <c r="T1603" s="1477"/>
      <c r="U1603" s="1477"/>
      <c r="V1603" s="1477"/>
      <c r="W1603" s="1477"/>
      <c r="X1603" s="1477"/>
      <c r="Y1603" s="1477"/>
      <c r="Z1603" s="1477"/>
    </row>
    <row r="1604" spans="1:26" hidden="1"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46" t="s">
        <v>1301</v>
      </c>
      <c r="I1604" s="1427"/>
      <c r="J1604" s="1480"/>
      <c r="K1604" s="1480"/>
      <c r="L1604" s="1480"/>
      <c r="M1604" s="1480"/>
      <c r="N1604" s="1480"/>
      <c r="O1604" s="1477"/>
      <c r="P1604" s="1477"/>
      <c r="Q1604" s="1477"/>
      <c r="R1604" s="1477"/>
      <c r="S1604" s="1477"/>
      <c r="T1604" s="1477"/>
      <c r="U1604" s="1477"/>
      <c r="V1604" s="1477"/>
      <c r="W1604" s="1477"/>
      <c r="X1604" s="1477"/>
      <c r="Y1604" s="1477"/>
      <c r="Z1604" s="1477"/>
    </row>
    <row r="1605" spans="1:26" hidden="1"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46" t="s">
        <v>1301</v>
      </c>
      <c r="I1605" s="1427"/>
      <c r="J1605" s="1480"/>
      <c r="K1605" s="1480"/>
      <c r="L1605" s="1480"/>
      <c r="M1605" s="1480"/>
      <c r="N1605" s="1480"/>
      <c r="O1605" s="1477"/>
      <c r="P1605" s="1477"/>
      <c r="Q1605" s="1477"/>
      <c r="R1605" s="1477"/>
      <c r="S1605" s="1477"/>
      <c r="T1605" s="1477"/>
      <c r="U1605" s="1477"/>
      <c r="V1605" s="1477"/>
      <c r="W1605" s="1477"/>
      <c r="X1605" s="1477"/>
      <c r="Y1605" s="1477"/>
      <c r="Z1605" s="1477"/>
    </row>
    <row r="1606" spans="1:26" hidden="1"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46" t="s">
        <v>1301</v>
      </c>
      <c r="I1606" s="1427"/>
      <c r="J1606" s="1480"/>
      <c r="K1606" s="1480"/>
      <c r="L1606" s="1480"/>
      <c r="M1606" s="1480"/>
      <c r="N1606" s="1480"/>
      <c r="O1606" s="1477"/>
      <c r="P1606" s="1477"/>
      <c r="Q1606" s="1477"/>
      <c r="R1606" s="1477"/>
      <c r="S1606" s="1477"/>
      <c r="T1606" s="1477"/>
      <c r="U1606" s="1477"/>
      <c r="V1606" s="1477"/>
      <c r="W1606" s="1477"/>
      <c r="X1606" s="1477"/>
      <c r="Y1606" s="1477"/>
      <c r="Z1606" s="1477"/>
    </row>
    <row r="1607" spans="1:26" hidden="1"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6" t="s">
        <v>1301</v>
      </c>
      <c r="I1607" s="1427"/>
      <c r="J1607" s="1480"/>
      <c r="K1607" s="1480"/>
      <c r="L1607" s="1480"/>
      <c r="M1607" s="1480"/>
      <c r="N1607" s="1480"/>
      <c r="O1607" s="1477"/>
      <c r="P1607" s="1477"/>
      <c r="Q1607" s="1477"/>
      <c r="R1607" s="1477"/>
      <c r="S1607" s="1477"/>
      <c r="T1607" s="1477"/>
      <c r="U1607" s="1477"/>
      <c r="V1607" s="1477"/>
      <c r="W1607" s="1477"/>
      <c r="X1607" s="1477"/>
      <c r="Y1607" s="1477"/>
      <c r="Z1607" s="1477"/>
    </row>
    <row r="1608" spans="1:26" hidden="1"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80"/>
      <c r="K1608" s="1480"/>
      <c r="L1608" s="1480"/>
      <c r="M1608" s="1480"/>
      <c r="N1608" s="1480"/>
      <c r="O1608" s="1477"/>
      <c r="P1608" s="1477"/>
      <c r="Q1608" s="1477"/>
      <c r="R1608" s="1477"/>
      <c r="S1608" s="1477"/>
      <c r="T1608" s="1477"/>
      <c r="U1608" s="1477"/>
      <c r="V1608" s="1477"/>
      <c r="W1608" s="1477"/>
      <c r="X1608" s="1477"/>
      <c r="Y1608" s="1477"/>
      <c r="Z1608" s="1477"/>
    </row>
    <row r="1609" spans="1:26" hidden="1"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80"/>
      <c r="K1609" s="1480"/>
      <c r="L1609" s="1480"/>
      <c r="M1609" s="1480"/>
      <c r="N1609" s="1480"/>
      <c r="O1609" s="1477"/>
      <c r="P1609" s="1477"/>
      <c r="Q1609" s="1477"/>
      <c r="R1609" s="1477"/>
      <c r="S1609" s="1477"/>
      <c r="T1609" s="1477"/>
      <c r="U1609" s="1477"/>
      <c r="V1609" s="1477"/>
      <c r="W1609" s="1477"/>
      <c r="X1609" s="1477"/>
      <c r="Y1609" s="1477"/>
      <c r="Z1609" s="1477"/>
    </row>
    <row r="1610" spans="1:26" hidden="1"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47"/>
      <c r="L1610" s="1447"/>
      <c r="M1610" s="1447"/>
      <c r="N1610" s="1447"/>
      <c r="O1610" s="1477"/>
      <c r="P1610" s="1477"/>
      <c r="Q1610" s="1477"/>
      <c r="R1610" s="1477"/>
      <c r="S1610" s="1477"/>
      <c r="T1610" s="1477"/>
      <c r="U1610" s="1477"/>
      <c r="V1610" s="1477"/>
      <c r="W1610" s="1477"/>
      <c r="X1610" s="1477"/>
      <c r="Y1610" s="1477"/>
      <c r="Z1610" s="1477"/>
    </row>
    <row r="1611" spans="1:26" hidden="1"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47"/>
      <c r="L1611" s="1447"/>
      <c r="M1611" s="1447"/>
      <c r="N1611" s="1447"/>
      <c r="O1611" s="1477"/>
      <c r="P1611" s="1477"/>
      <c r="Q1611" s="1477"/>
      <c r="R1611" s="1477"/>
      <c r="S1611" s="1477"/>
      <c r="T1611" s="1477"/>
      <c r="U1611" s="1477"/>
      <c r="V1611" s="1477"/>
      <c r="W1611" s="1477"/>
      <c r="X1611" s="1477"/>
      <c r="Y1611" s="1477"/>
      <c r="Z1611" s="1477"/>
    </row>
    <row r="1612" spans="1:26" hidden="1"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47"/>
      <c r="L1612" s="1447"/>
      <c r="M1612" s="1447"/>
      <c r="N1612" s="1447"/>
      <c r="O1612" s="1477"/>
      <c r="P1612" s="1477"/>
      <c r="Q1612" s="1477"/>
      <c r="R1612" s="1477"/>
      <c r="S1612" s="1477"/>
      <c r="T1612" s="1477"/>
      <c r="U1612" s="1477"/>
      <c r="V1612" s="1477"/>
      <c r="W1612" s="1477"/>
      <c r="X1612" s="1477"/>
      <c r="Y1612" s="1477"/>
      <c r="Z1612" s="1477"/>
    </row>
    <row r="1613" spans="1:26" hidden="1"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47"/>
      <c r="L1613" s="1447"/>
      <c r="M1613" s="1447"/>
      <c r="N1613" s="1447"/>
      <c r="O1613" s="1477"/>
      <c r="P1613" s="1477"/>
      <c r="Q1613" s="1477"/>
      <c r="R1613" s="1477"/>
      <c r="S1613" s="1477"/>
      <c r="T1613" s="1477"/>
      <c r="U1613" s="1477"/>
      <c r="V1613" s="1477"/>
      <c r="W1613" s="1477"/>
      <c r="X1613" s="1477"/>
      <c r="Y1613" s="1477"/>
      <c r="Z1613" s="1477"/>
    </row>
    <row r="1614" spans="1:26" hidden="1"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47" t="s">
        <v>1376</v>
      </c>
      <c r="H1614" s="866" t="s">
        <v>1998</v>
      </c>
      <c r="I1614" s="1448"/>
      <c r="J1614" s="1447"/>
      <c r="K1614" s="1447"/>
      <c r="L1614" s="1447"/>
      <c r="M1614" s="1447"/>
      <c r="N1614" s="1447"/>
      <c r="O1614" s="1477"/>
      <c r="P1614" s="1477"/>
      <c r="Q1614" s="1477"/>
      <c r="R1614" s="1477"/>
      <c r="S1614" s="1477"/>
      <c r="T1614" s="1477"/>
      <c r="U1614" s="1477"/>
      <c r="V1614" s="1477"/>
      <c r="W1614" s="1477"/>
      <c r="X1614" s="1477"/>
      <c r="Y1614" s="1477"/>
      <c r="Z1614" s="1477"/>
    </row>
    <row r="1615" spans="1:26" hidden="1" x14ac:dyDescent="0.25">
      <c r="A1615" s="1447"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47" t="s">
        <v>1991</v>
      </c>
      <c r="G1615" s="1480" t="s">
        <v>1381</v>
      </c>
      <c r="H1615" s="52" t="s">
        <v>1301</v>
      </c>
      <c r="I1615" s="1427"/>
      <c r="J1615" s="1480"/>
      <c r="K1615" s="1480"/>
      <c r="L1615" s="1480"/>
      <c r="M1615" s="1480"/>
      <c r="N1615" s="1480"/>
      <c r="O1615" s="1477"/>
      <c r="P1615" s="1477"/>
      <c r="Q1615" s="1477"/>
      <c r="R1615" s="1477"/>
      <c r="S1615" s="1477"/>
      <c r="T1615" s="1477"/>
      <c r="U1615" s="1477"/>
      <c r="V1615" s="1477"/>
      <c r="W1615" s="1477"/>
      <c r="X1615" s="1477"/>
      <c r="Y1615" s="1477"/>
      <c r="Z1615" s="1477"/>
    </row>
    <row r="1616" spans="1:26" hidden="1" x14ac:dyDescent="0.25">
      <c r="A1616" s="144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9" t="s">
        <v>1255</v>
      </c>
      <c r="G1616" s="867" t="s">
        <v>1376</v>
      </c>
      <c r="H1616" s="867" t="s">
        <v>1248</v>
      </c>
      <c r="I1616" s="1427"/>
      <c r="J1616" s="1480"/>
      <c r="K1616" s="1480"/>
      <c r="L1616" s="1480"/>
      <c r="M1616" s="1480"/>
      <c r="N1616" s="1480"/>
      <c r="O1616" s="1477"/>
      <c r="P1616" s="1477"/>
      <c r="Q1616" s="1477"/>
      <c r="R1616" s="1477"/>
      <c r="S1616" s="1477"/>
      <c r="T1616" s="1477"/>
      <c r="U1616" s="1477"/>
      <c r="V1616" s="1477"/>
      <c r="W1616" s="1477"/>
      <c r="X1616" s="1477"/>
      <c r="Y1616" s="1477"/>
      <c r="Z1616" s="1477"/>
    </row>
    <row r="1617" spans="1:26" hidden="1" x14ac:dyDescent="0.25">
      <c r="A1617" s="1449" t="s">
        <v>846</v>
      </c>
      <c r="B1617" s="52" t="str">
        <f>IFERROR(_xlfn.CONCAT("G",MATCH(A1617,'Tracking &amp; Profitability'!G$1:G$60,0)),"")</f>
        <v>G5</v>
      </c>
      <c r="C1617" s="52" t="str">
        <f>IFERROR(_xlfn.CONCAT("H",MATCH(A1617,'Tracking &amp; Profitability'!G$1:G$60,0)),"")</f>
        <v>H5</v>
      </c>
      <c r="D1617" s="867" t="s">
        <v>1365</v>
      </c>
      <c r="E1617" s="52" t="s">
        <v>129</v>
      </c>
      <c r="F1617" s="1480" t="s">
        <v>2044</v>
      </c>
      <c r="G1617" s="52" t="s">
        <v>1385</v>
      </c>
      <c r="H1617" s="52" t="s">
        <v>2000</v>
      </c>
      <c r="I1617" s="1427"/>
      <c r="J1617" s="1480"/>
      <c r="K1617" s="1480"/>
      <c r="L1617" s="1480"/>
      <c r="M1617" s="1480"/>
      <c r="N1617" s="1480"/>
      <c r="O1617" s="1477"/>
      <c r="P1617" s="1477"/>
      <c r="Q1617" s="1477"/>
      <c r="R1617" s="1477"/>
      <c r="S1617" s="1477"/>
      <c r="T1617" s="1477"/>
      <c r="U1617" s="1477"/>
      <c r="V1617" s="1477"/>
      <c r="W1617" s="1477"/>
      <c r="X1617" s="1477"/>
      <c r="Y1617" s="1477"/>
      <c r="Z1617" s="1477"/>
    </row>
    <row r="1618" spans="1:26" hidden="1"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80"/>
      <c r="K1618" s="1480"/>
      <c r="L1618" s="1480"/>
      <c r="M1618" s="1480"/>
      <c r="N1618" s="1480"/>
      <c r="O1618" s="1477"/>
      <c r="P1618" s="1477"/>
      <c r="Q1618" s="1477"/>
      <c r="R1618" s="1477"/>
      <c r="S1618" s="1477"/>
      <c r="T1618" s="1477"/>
      <c r="U1618" s="1477"/>
      <c r="V1618" s="1477"/>
      <c r="W1618" s="1477"/>
      <c r="X1618" s="1477"/>
      <c r="Y1618" s="1477"/>
      <c r="Z1618" s="1477"/>
    </row>
    <row r="1619" spans="1:26" hidden="1" x14ac:dyDescent="0.25">
      <c r="A1619" s="1480" t="s">
        <v>683</v>
      </c>
      <c r="B1619" s="52" t="str">
        <f>IFERROR(_xlfn.CONCAT("D",MATCH(A1619,'Tracking &amp; Profitability'!D$1:D$60,0)),"")</f>
        <v>D12</v>
      </c>
      <c r="C1619" s="52" t="str">
        <f>IFERROR(_xlfn.CONCAT("E",MATCH(A1619,'Tracking &amp; Profitability'!D$1:D$60,0)),"")</f>
        <v>E12</v>
      </c>
      <c r="D1619" s="867" t="s">
        <v>1365</v>
      </c>
      <c r="E1619" s="52" t="s">
        <v>129</v>
      </c>
      <c r="F1619" s="1480" t="s">
        <v>2045</v>
      </c>
      <c r="G1619" s="52" t="s">
        <v>659</v>
      </c>
      <c r="H1619" s="52" t="s">
        <v>2000</v>
      </c>
      <c r="I1619" s="1427"/>
      <c r="J1619" s="1480"/>
      <c r="K1619" s="1480"/>
      <c r="L1619" s="1480"/>
      <c r="M1619" s="1480"/>
      <c r="N1619" s="1480"/>
      <c r="O1619" s="1477"/>
      <c r="P1619" s="1477"/>
      <c r="Q1619" s="1477"/>
      <c r="R1619" s="1477"/>
      <c r="S1619" s="1477"/>
      <c r="T1619" s="1477"/>
      <c r="U1619" s="1477"/>
      <c r="V1619" s="1477"/>
      <c r="W1619" s="1477"/>
      <c r="X1619" s="1477"/>
      <c r="Y1619" s="1477"/>
      <c r="Z1619" s="1477"/>
    </row>
    <row r="1620" spans="1:26" hidden="1" x14ac:dyDescent="0.25">
      <c r="A1620" s="1480" t="s">
        <v>906</v>
      </c>
      <c r="B1620" s="52" t="str">
        <f>IFERROR(_xlfn.CONCAT("D",MATCH(A1620,'Tracking &amp; Profitability'!D$1:D$60,0)),"")</f>
        <v>D20</v>
      </c>
      <c r="C1620" s="52" t="str">
        <f>IFERROR(_xlfn.CONCAT("E",MATCH(A1620,'Tracking &amp; Profitability'!D$1:D$60,0)),"")</f>
        <v>E20</v>
      </c>
      <c r="D1620" s="867" t="s">
        <v>1365</v>
      </c>
      <c r="E1620" s="52" t="s">
        <v>129</v>
      </c>
      <c r="F1620" s="1449" t="s">
        <v>2001</v>
      </c>
      <c r="G1620" s="1449" t="s">
        <v>1375</v>
      </c>
      <c r="H1620" s="1224" t="s">
        <v>2000</v>
      </c>
      <c r="I1620" s="1427"/>
      <c r="J1620" s="1480"/>
      <c r="K1620" s="1480"/>
      <c r="L1620" s="1480"/>
      <c r="M1620" s="1480"/>
      <c r="N1620" s="1480"/>
      <c r="O1620" s="1477"/>
      <c r="P1620" s="1477"/>
      <c r="Q1620" s="1477"/>
      <c r="R1620" s="1477"/>
      <c r="S1620" s="1477"/>
      <c r="T1620" s="1477"/>
      <c r="U1620" s="1477"/>
      <c r="V1620" s="1477"/>
      <c r="W1620" s="1477"/>
      <c r="X1620" s="1477"/>
      <c r="Y1620" s="1477"/>
      <c r="Z1620" s="1477"/>
    </row>
    <row r="1621" spans="1:26" hidden="1" x14ac:dyDescent="0.25">
      <c r="A1621" s="1480" t="s">
        <v>906</v>
      </c>
      <c r="B1621" s="52" t="str">
        <f>IFERROR(_xlfn.CONCAT("D",MATCH(A1621,'Tracking &amp; Profitability'!D$1:D$60,0)),"")</f>
        <v>D20</v>
      </c>
      <c r="C1621" s="52" t="str">
        <f>IFERROR(_xlfn.CONCAT("I",MATCH(A1621,'Tracking &amp; Profitability'!D$1:D$60,0)),"")</f>
        <v>I20</v>
      </c>
      <c r="D1621" s="867" t="s">
        <v>1365</v>
      </c>
      <c r="E1621" s="52" t="s">
        <v>129</v>
      </c>
      <c r="F1621" s="1449" t="s">
        <v>2002</v>
      </c>
      <c r="G1621" s="1449" t="s">
        <v>134</v>
      </c>
      <c r="H1621" s="1224" t="s">
        <v>2000</v>
      </c>
      <c r="I1621" s="1427"/>
      <c r="J1621" s="1480"/>
      <c r="K1621" s="1480"/>
      <c r="L1621" s="1480"/>
      <c r="M1621" s="1480"/>
      <c r="N1621" s="1480"/>
      <c r="O1621" s="1477"/>
      <c r="P1621" s="1477"/>
      <c r="Q1621" s="1477"/>
      <c r="R1621" s="1477"/>
      <c r="S1621" s="1477"/>
      <c r="T1621" s="1477"/>
      <c r="U1621" s="1477"/>
      <c r="V1621" s="1477"/>
      <c r="W1621" s="1477"/>
      <c r="X1621" s="1477"/>
      <c r="Y1621" s="1477"/>
      <c r="Z1621" s="1477"/>
    </row>
    <row r="1622" spans="1:26" hidden="1" x14ac:dyDescent="0.25">
      <c r="A1622" s="1480" t="s">
        <v>906</v>
      </c>
      <c r="B1622" s="52" t="str">
        <f>IFERROR(_xlfn.CONCAT("D",MATCH(A1622,'Tracking &amp; Profitability'!D$1:D$60,0)),"")</f>
        <v>D20</v>
      </c>
      <c r="C1622" s="52" t="str">
        <f>IFERROR(_xlfn.CONCAT("G",MATCH(A1622,'Tracking &amp; Profitability'!D$1:D$60,0)),"")</f>
        <v>G20</v>
      </c>
      <c r="D1622" s="867" t="s">
        <v>1365</v>
      </c>
      <c r="E1622" s="52" t="s">
        <v>129</v>
      </c>
      <c r="F1622" s="1449" t="s">
        <v>2003</v>
      </c>
      <c r="G1622" s="1447" t="s">
        <v>660</v>
      </c>
      <c r="H1622" s="1224" t="s">
        <v>2000</v>
      </c>
      <c r="I1622" s="1427"/>
      <c r="J1622" s="1480"/>
      <c r="K1622" s="1480"/>
      <c r="L1622" s="1480"/>
      <c r="M1622" s="1480"/>
      <c r="N1622" s="1480"/>
      <c r="O1622" s="1477"/>
      <c r="P1622" s="1477"/>
      <c r="Q1622" s="1477"/>
      <c r="R1622" s="1477"/>
      <c r="S1622" s="1477"/>
      <c r="T1622" s="1477"/>
      <c r="U1622" s="1477"/>
      <c r="V1622" s="1477"/>
      <c r="W1622" s="1477"/>
      <c r="X1622" s="1477"/>
      <c r="Y1622" s="1477"/>
      <c r="Z1622" s="1477"/>
    </row>
    <row r="1623" spans="1:26" hidden="1"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80"/>
      <c r="K1623" s="1480"/>
      <c r="L1623" s="1480"/>
      <c r="M1623" s="1480"/>
      <c r="N1623" s="1480"/>
      <c r="O1623" s="1477"/>
      <c r="P1623" s="1477"/>
      <c r="Q1623" s="1477"/>
      <c r="R1623" s="1477"/>
      <c r="S1623" s="1477"/>
      <c r="T1623" s="1477"/>
      <c r="U1623" s="1477"/>
      <c r="V1623" s="1477"/>
      <c r="W1623" s="1477"/>
      <c r="X1623" s="1477"/>
      <c r="Y1623" s="1477"/>
      <c r="Z1623" s="1477"/>
    </row>
    <row r="1624" spans="1:26" hidden="1"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80"/>
      <c r="K1624" s="1480"/>
      <c r="L1624" s="1480"/>
      <c r="M1624" s="1480"/>
      <c r="N1624" s="1480"/>
      <c r="O1624" s="1477"/>
      <c r="P1624" s="1477"/>
      <c r="Q1624" s="1477"/>
      <c r="R1624" s="1477"/>
      <c r="S1624" s="1477"/>
      <c r="T1624" s="1477"/>
      <c r="U1624" s="1477"/>
      <c r="V1624" s="1477"/>
      <c r="W1624" s="1477"/>
      <c r="X1624" s="1477"/>
      <c r="Y1624" s="1477"/>
      <c r="Z1624" s="1477"/>
    </row>
    <row r="1625" spans="1:26" hidden="1" x14ac:dyDescent="0.25">
      <c r="A1625" s="1480" t="s">
        <v>1261</v>
      </c>
      <c r="B1625" s="52" t="str">
        <f>IFERROR(_xlfn.CONCAT("D",MATCH(A1625,'Tracking &amp; Profitability'!D$1:D$60,0)),"")</f>
        <v>D17</v>
      </c>
      <c r="C1625" s="52" t="str">
        <f>IFERROR(_xlfn.CONCAT("E",MATCH(A1625,'Tracking &amp; Profitability'!D$1:D$60,0)),"")</f>
        <v>E17</v>
      </c>
      <c r="D1625" s="867" t="s">
        <v>1365</v>
      </c>
      <c r="E1625" s="52" t="s">
        <v>129</v>
      </c>
      <c r="F1625" s="1449" t="s">
        <v>2006</v>
      </c>
      <c r="G1625" s="1480" t="s">
        <v>1864</v>
      </c>
      <c r="H1625" s="1224" t="s">
        <v>2000</v>
      </c>
      <c r="I1625" s="1427"/>
      <c r="J1625" s="1480"/>
      <c r="K1625" s="1480"/>
      <c r="L1625" s="1480"/>
      <c r="M1625" s="1480"/>
      <c r="N1625" s="1480"/>
      <c r="O1625" s="1477"/>
      <c r="P1625" s="1477"/>
      <c r="Q1625" s="1477"/>
      <c r="R1625" s="1477"/>
      <c r="S1625" s="1477"/>
      <c r="T1625" s="1477"/>
      <c r="U1625" s="1477"/>
      <c r="V1625" s="1477"/>
      <c r="W1625" s="1477"/>
      <c r="X1625" s="1477"/>
      <c r="Y1625" s="1477"/>
      <c r="Z1625" s="1477"/>
    </row>
    <row r="1626" spans="1:26" hidden="1" x14ac:dyDescent="0.25">
      <c r="A1626" s="1480" t="s">
        <v>1261</v>
      </c>
      <c r="B1626" s="52" t="str">
        <f>IFERROR(_xlfn.CONCAT("D",MATCH(A1626,'Tracking &amp; Profitability'!D$1:D$60,0)),"")</f>
        <v>D17</v>
      </c>
      <c r="C1626" s="52" t="str">
        <f>IFERROR(_xlfn.CONCAT("I",MATCH(A1626,'Tracking &amp; Profitability'!D$1:D$60,0)),"")</f>
        <v>I17</v>
      </c>
      <c r="D1626" s="867" t="s">
        <v>1365</v>
      </c>
      <c r="E1626" s="52" t="s">
        <v>129</v>
      </c>
      <c r="F1626" s="1449" t="s">
        <v>2007</v>
      </c>
      <c r="G1626" s="1480" t="s">
        <v>2008</v>
      </c>
      <c r="H1626" s="1224" t="s">
        <v>2000</v>
      </c>
      <c r="I1626" s="1427"/>
      <c r="J1626" s="1480"/>
      <c r="K1626" s="1480"/>
      <c r="L1626" s="1480"/>
      <c r="M1626" s="1480"/>
      <c r="N1626" s="1480"/>
      <c r="O1626" s="1477"/>
      <c r="P1626" s="1477"/>
      <c r="Q1626" s="1477"/>
      <c r="R1626" s="1477"/>
      <c r="S1626" s="1477"/>
      <c r="T1626" s="1477"/>
      <c r="U1626" s="1477"/>
      <c r="V1626" s="1477"/>
      <c r="W1626" s="1477"/>
      <c r="X1626" s="1477"/>
      <c r="Y1626" s="1477"/>
      <c r="Z1626" s="1477"/>
    </row>
    <row r="1627" spans="1:26" hidden="1" x14ac:dyDescent="0.25">
      <c r="A1627" s="1480" t="s">
        <v>1261</v>
      </c>
      <c r="B1627" s="52" t="str">
        <f>IFERROR(_xlfn.CONCAT("D",MATCH(A1627,'Tracking &amp; Profitability'!D$1:D$60,0)),"")</f>
        <v>D17</v>
      </c>
      <c r="C1627" s="52" t="str">
        <f>IFERROR(_xlfn.CONCAT("G",MATCH(A1627,'Tracking &amp; Profitability'!D$1:D$60,0)),"")</f>
        <v>G17</v>
      </c>
      <c r="D1627" s="867" t="s">
        <v>1365</v>
      </c>
      <c r="E1627" s="52" t="s">
        <v>129</v>
      </c>
      <c r="F1627" s="1449" t="s">
        <v>2005</v>
      </c>
      <c r="G1627" s="1480" t="s">
        <v>1865</v>
      </c>
      <c r="H1627" s="1224" t="s">
        <v>2000</v>
      </c>
      <c r="I1627" s="1427"/>
      <c r="J1627" s="1480"/>
      <c r="K1627" s="1480"/>
      <c r="L1627" s="1480"/>
      <c r="M1627" s="1480"/>
      <c r="N1627" s="1480"/>
      <c r="O1627" s="1477"/>
      <c r="P1627" s="1477"/>
      <c r="Q1627" s="1477"/>
      <c r="R1627" s="1477"/>
      <c r="S1627" s="1477"/>
      <c r="T1627" s="1477"/>
      <c r="U1627" s="1477"/>
      <c r="V1627" s="1477"/>
      <c r="W1627" s="1477"/>
      <c r="X1627" s="1477"/>
      <c r="Y1627" s="1477"/>
      <c r="Z1627" s="1477"/>
    </row>
    <row r="1628" spans="1:26" hidden="1"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80" t="s">
        <v>2009</v>
      </c>
      <c r="H1628" s="1224" t="s">
        <v>2000</v>
      </c>
      <c r="I1628" s="1427"/>
      <c r="J1628" s="1480"/>
      <c r="K1628" s="1480"/>
      <c r="L1628" s="1480"/>
      <c r="M1628" s="1480"/>
      <c r="N1628" s="1480"/>
      <c r="O1628" s="1477"/>
      <c r="P1628" s="1477"/>
      <c r="Q1628" s="1477"/>
      <c r="R1628" s="1477"/>
      <c r="S1628" s="1477"/>
      <c r="T1628" s="1477"/>
      <c r="U1628" s="1477"/>
      <c r="V1628" s="1477"/>
      <c r="W1628" s="1477"/>
      <c r="X1628" s="1477"/>
      <c r="Y1628" s="1477"/>
      <c r="Z1628" s="1477"/>
    </row>
    <row r="1629" spans="1:26" hidden="1"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80" t="s">
        <v>1889</v>
      </c>
      <c r="H1629" s="1224" t="s">
        <v>2000</v>
      </c>
      <c r="I1629" s="1427"/>
      <c r="J1629" s="1480"/>
      <c r="K1629" s="1480"/>
      <c r="L1629" s="1480"/>
      <c r="M1629" s="1480"/>
      <c r="N1629" s="1480"/>
      <c r="O1629" s="1477"/>
      <c r="P1629" s="1477"/>
      <c r="Q1629" s="1477"/>
      <c r="R1629" s="1477"/>
      <c r="S1629" s="1477"/>
      <c r="T1629" s="1477"/>
      <c r="U1629" s="1477"/>
      <c r="V1629" s="1477"/>
      <c r="W1629" s="1477"/>
      <c r="X1629" s="1477"/>
      <c r="Y1629" s="1477"/>
      <c r="Z1629" s="1477"/>
    </row>
    <row r="1630" spans="1:26" hidden="1"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80" t="s">
        <v>2010</v>
      </c>
      <c r="H1630" s="1224" t="s">
        <v>2000</v>
      </c>
      <c r="I1630" s="1427"/>
      <c r="J1630" s="1480"/>
      <c r="K1630" s="1480"/>
      <c r="L1630" s="1480"/>
      <c r="M1630" s="1480"/>
      <c r="N1630" s="1480"/>
      <c r="O1630" s="1477"/>
      <c r="P1630" s="1477"/>
      <c r="Q1630" s="1477"/>
      <c r="R1630" s="1477"/>
      <c r="S1630" s="1477"/>
      <c r="T1630" s="1477"/>
      <c r="U1630" s="1477"/>
      <c r="V1630" s="1477"/>
      <c r="W1630" s="1477"/>
      <c r="X1630" s="1477"/>
      <c r="Y1630" s="1477"/>
      <c r="Z1630" s="1477"/>
    </row>
    <row r="1631" spans="1:26" hidden="1"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80" t="s">
        <v>2011</v>
      </c>
      <c r="H1631" s="1224" t="s">
        <v>2000</v>
      </c>
      <c r="I1631" s="1427"/>
      <c r="J1631" s="1480"/>
      <c r="K1631" s="1480"/>
      <c r="L1631" s="1480"/>
      <c r="M1631" s="1480"/>
      <c r="N1631" s="1480"/>
      <c r="O1631" s="1477"/>
      <c r="P1631" s="1477"/>
      <c r="Q1631" s="1477"/>
      <c r="R1631" s="1477"/>
      <c r="S1631" s="1477"/>
      <c r="T1631" s="1477"/>
      <c r="U1631" s="1477"/>
      <c r="V1631" s="1477"/>
      <c r="W1631" s="1477"/>
      <c r="X1631" s="1477"/>
      <c r="Y1631" s="1477"/>
      <c r="Z1631" s="1477"/>
    </row>
    <row r="1632" spans="1:26" hidden="1"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80" t="s">
        <v>1901</v>
      </c>
      <c r="H1632" s="1224" t="s">
        <v>2000</v>
      </c>
      <c r="I1632" s="1427"/>
      <c r="J1632" s="1480"/>
      <c r="K1632" s="1480"/>
      <c r="L1632" s="1480"/>
      <c r="M1632" s="1480"/>
      <c r="N1632" s="1480"/>
      <c r="O1632" s="1477"/>
      <c r="P1632" s="1477"/>
      <c r="Q1632" s="1477"/>
      <c r="R1632" s="1477"/>
      <c r="S1632" s="1477"/>
      <c r="T1632" s="1477"/>
      <c r="U1632" s="1477"/>
      <c r="V1632" s="1477"/>
      <c r="W1632" s="1477"/>
      <c r="X1632" s="1477"/>
      <c r="Y1632" s="1477"/>
      <c r="Z1632" s="1477"/>
    </row>
    <row r="1633" spans="1:26" hidden="1"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80" t="s">
        <v>2012</v>
      </c>
      <c r="H1633" s="1224" t="s">
        <v>2000</v>
      </c>
      <c r="I1633" s="1427"/>
      <c r="J1633" s="1480"/>
      <c r="K1633" s="1480"/>
      <c r="L1633" s="1480"/>
      <c r="M1633" s="1480"/>
      <c r="N1633" s="1480"/>
      <c r="O1633" s="1477"/>
      <c r="P1633" s="1477"/>
      <c r="Q1633" s="1477"/>
      <c r="R1633" s="1477"/>
      <c r="S1633" s="1477"/>
      <c r="T1633" s="1477"/>
      <c r="U1633" s="1477"/>
      <c r="V1633" s="1477"/>
      <c r="W1633" s="1477"/>
      <c r="X1633" s="1477"/>
      <c r="Y1633" s="1477"/>
      <c r="Z1633" s="1477"/>
    </row>
    <row r="1634" spans="1:26" hidden="1"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80" t="s">
        <v>2013</v>
      </c>
      <c r="H1634" s="1224" t="s">
        <v>2000</v>
      </c>
      <c r="I1634" s="1427"/>
      <c r="J1634" s="1480"/>
      <c r="K1634" s="1480"/>
      <c r="L1634" s="1480"/>
      <c r="M1634" s="1480"/>
      <c r="N1634" s="1480"/>
      <c r="O1634" s="1477"/>
      <c r="P1634" s="1477"/>
      <c r="Q1634" s="1477"/>
      <c r="R1634" s="1477"/>
      <c r="S1634" s="1477"/>
      <c r="T1634" s="1477"/>
      <c r="U1634" s="1477"/>
      <c r="V1634" s="1477"/>
      <c r="W1634" s="1477"/>
      <c r="X1634" s="1477"/>
      <c r="Y1634" s="1477"/>
      <c r="Z1634" s="1477"/>
    </row>
    <row r="1635" spans="1:26" hidden="1"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80" t="s">
        <v>1718</v>
      </c>
      <c r="H1635" s="1224" t="s">
        <v>2000</v>
      </c>
      <c r="I1635" s="1427"/>
      <c r="J1635" s="1480"/>
      <c r="K1635" s="1480"/>
      <c r="L1635" s="1480"/>
      <c r="M1635" s="1480"/>
      <c r="N1635" s="1480"/>
      <c r="O1635" s="1477"/>
      <c r="P1635" s="1477"/>
      <c r="Q1635" s="1477"/>
      <c r="R1635" s="1477"/>
      <c r="S1635" s="1477"/>
      <c r="T1635" s="1477"/>
      <c r="U1635" s="1477"/>
      <c r="V1635" s="1477"/>
      <c r="W1635" s="1477"/>
      <c r="X1635" s="1477"/>
      <c r="Y1635" s="1477"/>
      <c r="Z1635" s="1477"/>
    </row>
    <row r="1636" spans="1:26" hidden="1"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80" t="s">
        <v>2014</v>
      </c>
      <c r="H1636" s="1224" t="s">
        <v>2000</v>
      </c>
      <c r="I1636" s="1427"/>
      <c r="J1636" s="1480"/>
      <c r="K1636" s="1480"/>
      <c r="L1636" s="1480"/>
      <c r="M1636" s="1480"/>
      <c r="N1636" s="1480"/>
      <c r="O1636" s="1477"/>
      <c r="P1636" s="1477"/>
      <c r="Q1636" s="1477"/>
      <c r="R1636" s="1477"/>
      <c r="S1636" s="1477"/>
      <c r="T1636" s="1477"/>
      <c r="U1636" s="1477"/>
      <c r="V1636" s="1477"/>
      <c r="W1636" s="1477"/>
      <c r="X1636" s="1477"/>
      <c r="Y1636" s="1477"/>
      <c r="Z1636" s="1477"/>
    </row>
    <row r="1637" spans="1:26" hidden="1"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80" t="s">
        <v>2015</v>
      </c>
      <c r="H1637" s="1224" t="s">
        <v>2000</v>
      </c>
      <c r="I1637" s="1427"/>
      <c r="J1637" s="1480"/>
      <c r="K1637" s="1480"/>
      <c r="L1637" s="1480"/>
      <c r="M1637" s="1480"/>
      <c r="N1637" s="1480"/>
      <c r="O1637" s="1477"/>
      <c r="P1637" s="1477"/>
      <c r="Q1637" s="1477"/>
      <c r="R1637" s="1477"/>
      <c r="S1637" s="1477"/>
      <c r="T1637" s="1477"/>
      <c r="U1637" s="1477"/>
      <c r="V1637" s="1477"/>
      <c r="W1637" s="1477"/>
      <c r="X1637" s="1477"/>
      <c r="Y1637" s="1477"/>
      <c r="Z1637" s="1477"/>
    </row>
    <row r="1638" spans="1:26" hidden="1"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80" t="s">
        <v>2016</v>
      </c>
      <c r="H1638" s="1224" t="s">
        <v>2000</v>
      </c>
      <c r="I1638" s="1427"/>
      <c r="J1638" s="1480"/>
      <c r="K1638" s="1480"/>
      <c r="L1638" s="1480"/>
      <c r="M1638" s="1480"/>
      <c r="N1638" s="1480"/>
      <c r="O1638" s="1477"/>
      <c r="P1638" s="1477"/>
      <c r="Q1638" s="1477"/>
      <c r="R1638" s="1477"/>
      <c r="S1638" s="1477"/>
      <c r="T1638" s="1477"/>
      <c r="U1638" s="1477"/>
      <c r="V1638" s="1477"/>
      <c r="W1638" s="1477"/>
      <c r="X1638" s="1477"/>
      <c r="Y1638" s="1477"/>
      <c r="Z1638" s="1477"/>
    </row>
    <row r="1639" spans="1:26" hidden="1"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80" t="s">
        <v>2017</v>
      </c>
      <c r="H1639" s="1224" t="s">
        <v>2000</v>
      </c>
      <c r="I1639" s="1427"/>
      <c r="J1639" s="1480"/>
      <c r="K1639" s="1480"/>
      <c r="L1639" s="1480"/>
      <c r="M1639" s="1480"/>
      <c r="N1639" s="1480"/>
      <c r="O1639" s="1477"/>
      <c r="P1639" s="1477"/>
      <c r="Q1639" s="1477"/>
      <c r="R1639" s="1477"/>
      <c r="S1639" s="1477"/>
      <c r="T1639" s="1477"/>
      <c r="U1639" s="1477"/>
      <c r="V1639" s="1477"/>
      <c r="W1639" s="1477"/>
      <c r="X1639" s="1477"/>
      <c r="Y1639" s="1477"/>
      <c r="Z1639" s="1477"/>
    </row>
    <row r="1640" spans="1:26" hidden="1" x14ac:dyDescent="0.25">
      <c r="A1640" s="1480"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80" t="s">
        <v>2018</v>
      </c>
      <c r="H1640" s="1224" t="s">
        <v>2000</v>
      </c>
      <c r="I1640" s="1427"/>
      <c r="J1640" s="1480"/>
      <c r="K1640" s="1480"/>
      <c r="L1640" s="1480"/>
      <c r="M1640" s="1480"/>
      <c r="N1640" s="1480"/>
      <c r="O1640" s="1477"/>
      <c r="P1640" s="1477"/>
      <c r="Q1640" s="1477"/>
      <c r="R1640" s="1477"/>
      <c r="S1640" s="1477"/>
      <c r="T1640" s="1477"/>
      <c r="U1640" s="1477"/>
      <c r="V1640" s="1477"/>
      <c r="W1640" s="1477"/>
      <c r="X1640" s="1477"/>
      <c r="Y1640" s="1477"/>
      <c r="Z1640" s="1477"/>
    </row>
    <row r="1641" spans="1:26" hidden="1" x14ac:dyDescent="0.25">
      <c r="A1641" s="1480"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80" t="s">
        <v>2019</v>
      </c>
      <c r="H1641" s="1224" t="s">
        <v>2000</v>
      </c>
      <c r="I1641" s="1427"/>
      <c r="J1641" s="1480"/>
      <c r="K1641" s="1480"/>
      <c r="L1641" s="1480"/>
      <c r="M1641" s="1480"/>
      <c r="N1641" s="1480"/>
      <c r="O1641" s="1477"/>
      <c r="P1641" s="1477"/>
      <c r="Q1641" s="1477"/>
      <c r="R1641" s="1477"/>
      <c r="S1641" s="1477"/>
      <c r="T1641" s="1477"/>
      <c r="U1641" s="1477"/>
      <c r="V1641" s="1477"/>
      <c r="W1641" s="1477"/>
      <c r="X1641" s="1477"/>
      <c r="Y1641" s="1477"/>
      <c r="Z1641" s="1477"/>
    </row>
    <row r="1642" spans="1:26" hidden="1" x14ac:dyDescent="0.25">
      <c r="A1642" s="923"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2000</v>
      </c>
      <c r="I1642" s="1427"/>
      <c r="J1642" s="1480"/>
      <c r="K1642" s="1480"/>
      <c r="L1642" s="1480"/>
      <c r="M1642" s="1480"/>
      <c r="N1642" s="1480"/>
      <c r="O1642" s="1477"/>
      <c r="P1642" s="1477"/>
      <c r="Q1642" s="1477"/>
      <c r="R1642" s="1477"/>
      <c r="S1642" s="1477"/>
      <c r="T1642" s="1477"/>
      <c r="U1642" s="1477"/>
      <c r="V1642" s="1477"/>
      <c r="W1642" s="1477"/>
      <c r="X1642" s="1477"/>
      <c r="Y1642" s="1477"/>
      <c r="Z1642" s="1477"/>
    </row>
    <row r="1643" spans="1:26" hidden="1" x14ac:dyDescent="0.25">
      <c r="A1643" s="122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2051</v>
      </c>
      <c r="G1643" s="867" t="s">
        <v>240</v>
      </c>
      <c r="H1643" s="867" t="s">
        <v>2000</v>
      </c>
      <c r="I1643" s="1427"/>
      <c r="J1643" s="1480"/>
      <c r="K1643" s="1480"/>
      <c r="L1643" s="1480"/>
      <c r="M1643" s="1480"/>
      <c r="N1643" s="1480"/>
      <c r="O1643" s="1477"/>
      <c r="P1643" s="1477"/>
      <c r="Q1643" s="1477"/>
      <c r="R1643" s="1477"/>
      <c r="S1643" s="1477"/>
      <c r="T1643" s="1477"/>
      <c r="U1643" s="1477"/>
      <c r="V1643" s="1477"/>
      <c r="W1643" s="1477"/>
      <c r="X1643" s="1477"/>
      <c r="Y1643" s="1477"/>
      <c r="Z1643" s="1477"/>
    </row>
    <row r="1644" spans="1:26" hidden="1" x14ac:dyDescent="0.25">
      <c r="A1644" s="1449" t="s">
        <v>490</v>
      </c>
      <c r="B1644" s="867" t="str">
        <f>IFERROR(_xlfn.CONCAT("G",MATCH(A1644,'PIM Model'!G$1:G$60,0)),"")</f>
        <v>G34</v>
      </c>
      <c r="C1644" s="867" t="str">
        <f>IFERROR(_xlfn.CONCAT("I",MATCH(A1644,'PIM Model'!G$1:G$60,0)),"")</f>
        <v>I34</v>
      </c>
      <c r="D1644" s="867" t="s">
        <v>1365</v>
      </c>
      <c r="E1644" s="52" t="s">
        <v>208</v>
      </c>
      <c r="F1644" s="1449" t="s">
        <v>2048</v>
      </c>
      <c r="G1644" s="1449" t="s">
        <v>1378</v>
      </c>
      <c r="H1644" s="867" t="s">
        <v>2000</v>
      </c>
      <c r="I1644" s="1428"/>
      <c r="J1644" s="1480"/>
      <c r="K1644" s="1480"/>
      <c r="L1644" s="1480"/>
      <c r="M1644" s="1480"/>
      <c r="N1644" s="1480"/>
      <c r="O1644" s="1477"/>
      <c r="P1644" s="1477"/>
      <c r="Q1644" s="1477"/>
      <c r="R1644" s="1477"/>
      <c r="S1644" s="1477"/>
      <c r="T1644" s="1477"/>
      <c r="U1644" s="1477"/>
      <c r="V1644" s="1477"/>
      <c r="W1644" s="1477"/>
      <c r="X1644" s="1477"/>
      <c r="Y1644" s="1477"/>
      <c r="Z1644" s="1477"/>
    </row>
    <row r="1645" spans="1:26" hidden="1" x14ac:dyDescent="0.25">
      <c r="A1645" s="1449" t="s">
        <v>1259</v>
      </c>
      <c r="B1645" s="867" t="str">
        <f>IFERROR(_xlfn.CONCAT("G",MATCH(A1645,'PIM Model'!G$1:G$60,0)),"")</f>
        <v>G35</v>
      </c>
      <c r="C1645" s="867" t="str">
        <f>IFERROR(_xlfn.CONCAT("I",MATCH(A1645,'PIM Model'!G$1:G$60,0)),"")</f>
        <v>I35</v>
      </c>
      <c r="D1645" s="867" t="s">
        <v>1365</v>
      </c>
      <c r="E1645" s="52" t="s">
        <v>208</v>
      </c>
      <c r="F1645" s="1449" t="s">
        <v>2049</v>
      </c>
      <c r="G1645" s="1449" t="s">
        <v>1379</v>
      </c>
      <c r="H1645" s="867" t="s">
        <v>2000</v>
      </c>
      <c r="I1645" s="1427"/>
      <c r="J1645" s="1480"/>
      <c r="K1645" s="1480"/>
      <c r="L1645" s="1480"/>
      <c r="M1645" s="1480"/>
      <c r="N1645" s="1480"/>
      <c r="O1645" s="1477"/>
      <c r="P1645" s="1477"/>
      <c r="Q1645" s="1477"/>
      <c r="R1645" s="1477"/>
      <c r="S1645" s="1477"/>
      <c r="T1645" s="1477"/>
      <c r="U1645" s="1477"/>
      <c r="V1645" s="1477"/>
      <c r="W1645" s="1477"/>
      <c r="X1645" s="1477"/>
      <c r="Y1645" s="1477"/>
      <c r="Z1645" s="1477"/>
    </row>
    <row r="1646" spans="1:26" hidden="1" x14ac:dyDescent="0.25">
      <c r="A1646" s="1449" t="s">
        <v>1260</v>
      </c>
      <c r="B1646" s="867" t="str">
        <f>IFERROR(_xlfn.CONCAT("G",MATCH(A1646,'PIM Model'!G$1:G$60,0)),"")</f>
        <v>G39</v>
      </c>
      <c r="C1646" s="867" t="str">
        <f>IFERROR(_xlfn.CONCAT("I",MATCH(A1646,'PIM Model'!G$1:G$60,0)),"")</f>
        <v>I39</v>
      </c>
      <c r="D1646" s="867" t="s">
        <v>1365</v>
      </c>
      <c r="E1646" s="52" t="s">
        <v>208</v>
      </c>
      <c r="F1646" s="1449" t="s">
        <v>2050</v>
      </c>
      <c r="G1646" s="1447" t="s">
        <v>1381</v>
      </c>
      <c r="H1646" s="867" t="s">
        <v>2000</v>
      </c>
      <c r="I1646" s="1427"/>
      <c r="J1646" s="1480"/>
      <c r="K1646" s="1480"/>
      <c r="L1646" s="1480"/>
      <c r="M1646" s="1480"/>
      <c r="N1646" s="1480"/>
      <c r="O1646" s="1477"/>
      <c r="P1646" s="1477"/>
      <c r="Q1646" s="1477"/>
      <c r="R1646" s="1477"/>
      <c r="S1646" s="1477"/>
      <c r="T1646" s="1477"/>
      <c r="U1646" s="1477"/>
      <c r="V1646" s="1477"/>
      <c r="W1646" s="1477"/>
      <c r="X1646" s="1477"/>
      <c r="Y1646" s="1477"/>
      <c r="Z1646" s="1477"/>
    </row>
    <row r="1647" spans="1:26" hidden="1"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80" t="s">
        <v>2022</v>
      </c>
      <c r="G1647" s="1480" t="s">
        <v>2023</v>
      </c>
      <c r="H1647" s="1480" t="s">
        <v>2000</v>
      </c>
      <c r="I1647" s="1427"/>
      <c r="J1647" s="1480"/>
      <c r="K1647" s="1480"/>
      <c r="L1647" s="1480"/>
      <c r="M1647" s="1480"/>
      <c r="N1647" s="1480"/>
      <c r="O1647" s="1477"/>
      <c r="P1647" s="1477"/>
      <c r="Q1647" s="1477"/>
      <c r="R1647" s="1477"/>
      <c r="S1647" s="1477"/>
      <c r="T1647" s="1477"/>
      <c r="U1647" s="1477"/>
      <c r="V1647" s="1477"/>
      <c r="W1647" s="1477"/>
      <c r="X1647" s="1477"/>
      <c r="Y1647" s="1477"/>
      <c r="Z1647" s="1477"/>
    </row>
    <row r="1648" spans="1:26" hidden="1" x14ac:dyDescent="0.25">
      <c r="A1648" s="1480" t="s">
        <v>221</v>
      </c>
      <c r="B1648" s="52" t="str">
        <f>IFERROR(_xlfn.CONCAT("D",MATCH(A1648,'Variable Costs &amp; Income'!D$1:D$60,0)),"")</f>
        <v>D29</v>
      </c>
      <c r="C1648" s="52" t="str">
        <f>IFERROR(_xlfn.CONCAT("E",MATCH(A1648,'Variable Costs &amp; Income'!D$1:D$60,0)),"")</f>
        <v>E29</v>
      </c>
      <c r="D1648" s="867" t="s">
        <v>1365</v>
      </c>
      <c r="E1648" s="52" t="s">
        <v>210</v>
      </c>
      <c r="F1648" s="866" t="s">
        <v>2046</v>
      </c>
      <c r="G1648" s="1480" t="s">
        <v>1874</v>
      </c>
      <c r="H1648" s="1224" t="s">
        <v>2000</v>
      </c>
      <c r="I1648" s="1427"/>
      <c r="J1648" s="1480"/>
      <c r="K1648" s="1480"/>
      <c r="L1648" s="1480"/>
      <c r="M1648" s="1480"/>
      <c r="N1648" s="1480"/>
      <c r="O1648" s="1477"/>
      <c r="P1648" s="1477"/>
      <c r="Q1648" s="1477"/>
      <c r="R1648" s="1477"/>
      <c r="S1648" s="1477"/>
      <c r="T1648" s="1477"/>
      <c r="U1648" s="1477"/>
      <c r="V1648" s="1477"/>
      <c r="W1648" s="1477"/>
      <c r="X1648" s="1477"/>
      <c r="Y1648" s="1477"/>
      <c r="Z1648" s="1477"/>
    </row>
    <row r="1649" spans="1:26" hidden="1" x14ac:dyDescent="0.25">
      <c r="A1649" s="1480" t="s">
        <v>221</v>
      </c>
      <c r="B1649" s="52" t="str">
        <f>IFERROR(_xlfn.CONCAT("D",MATCH(A1649,'Variable Costs &amp; Income'!D$1:D$60,0)),"")</f>
        <v>D29</v>
      </c>
      <c r="C1649" s="52" t="str">
        <f>IFERROR(_xlfn.CONCAT("G",MATCH(A1649,'Variable Costs &amp; Income'!D$1:D$60,0)),"")</f>
        <v>G29</v>
      </c>
      <c r="D1649" s="867" t="s">
        <v>1365</v>
      </c>
      <c r="E1649" s="52" t="s">
        <v>210</v>
      </c>
      <c r="F1649" s="866" t="s">
        <v>2047</v>
      </c>
      <c r="G1649" s="1480" t="s">
        <v>1879</v>
      </c>
      <c r="H1649" s="1224" t="s">
        <v>2000</v>
      </c>
      <c r="I1649" s="1427"/>
      <c r="J1649" s="1480"/>
      <c r="K1649" s="1480"/>
      <c r="L1649" s="1480"/>
      <c r="M1649" s="1480"/>
      <c r="N1649" s="1480"/>
      <c r="O1649" s="1477"/>
      <c r="P1649" s="1477"/>
      <c r="Q1649" s="1477"/>
      <c r="R1649" s="1477"/>
      <c r="S1649" s="1477"/>
      <c r="T1649" s="1477"/>
      <c r="U1649" s="1477"/>
      <c r="V1649" s="1477"/>
      <c r="W1649" s="1477"/>
      <c r="X1649" s="1477"/>
      <c r="Y1649" s="1477"/>
      <c r="Z1649" s="1477"/>
    </row>
    <row r="1650" spans="1:26" hidden="1" x14ac:dyDescent="0.25">
      <c r="A1650" s="1480" t="s">
        <v>220</v>
      </c>
      <c r="B1650" s="52" t="str">
        <f>IFERROR(_xlfn.CONCAT("D",MATCH(A1650,'Variable Costs &amp; Income'!D$1:D$60,0)),"")</f>
        <v>D30</v>
      </c>
      <c r="C1650" s="52" t="str">
        <f>IFERROR(_xlfn.CONCAT("E",MATCH(A1650,'Variable Costs &amp; Income'!D$1:D$60,0)),"")</f>
        <v>E30</v>
      </c>
      <c r="D1650" s="867" t="s">
        <v>1365</v>
      </c>
      <c r="E1650" s="52" t="s">
        <v>210</v>
      </c>
      <c r="F1650" s="866" t="s">
        <v>2024</v>
      </c>
      <c r="G1650" s="1480" t="s">
        <v>1880</v>
      </c>
      <c r="H1650" s="1224" t="s">
        <v>2000</v>
      </c>
      <c r="I1650" s="1427"/>
      <c r="J1650" s="1480"/>
      <c r="K1650" s="1480"/>
      <c r="L1650" s="1480"/>
      <c r="M1650" s="1480"/>
      <c r="N1650" s="1480"/>
      <c r="O1650" s="1477"/>
      <c r="P1650" s="1477"/>
      <c r="Q1650" s="1477"/>
      <c r="R1650" s="1477"/>
      <c r="S1650" s="1477"/>
      <c r="T1650" s="1477"/>
      <c r="U1650" s="1477"/>
      <c r="V1650" s="1477"/>
      <c r="W1650" s="1477"/>
      <c r="X1650" s="1477"/>
      <c r="Y1650" s="1477"/>
      <c r="Z1650" s="1477"/>
    </row>
    <row r="1651" spans="1:26" hidden="1" x14ac:dyDescent="0.25">
      <c r="A1651" s="1480" t="s">
        <v>220</v>
      </c>
      <c r="B1651" s="52" t="str">
        <f>IFERROR(_xlfn.CONCAT("D",MATCH(A1651,'Variable Costs &amp; Income'!D$1:D$60,0)),"")</f>
        <v>D30</v>
      </c>
      <c r="C1651" s="52" t="str">
        <f>IFERROR(_xlfn.CONCAT("I",MATCH(A1651,'Variable Costs &amp; Income'!D$1:D$60,0)),"")</f>
        <v>I30</v>
      </c>
      <c r="D1651" s="867" t="s">
        <v>1365</v>
      </c>
      <c r="E1651" s="52" t="s">
        <v>210</v>
      </c>
      <c r="F1651" s="866" t="s">
        <v>2025</v>
      </c>
      <c r="G1651" s="1480" t="s">
        <v>1877</v>
      </c>
      <c r="H1651" s="1224" t="s">
        <v>2000</v>
      </c>
      <c r="I1651" s="1427"/>
      <c r="J1651" s="1480"/>
      <c r="K1651" s="1480"/>
      <c r="L1651" s="1480"/>
      <c r="M1651" s="1480"/>
      <c r="N1651" s="1480"/>
      <c r="O1651" s="1477"/>
      <c r="P1651" s="1477"/>
      <c r="Q1651" s="1477"/>
      <c r="R1651" s="1477"/>
      <c r="S1651" s="1477"/>
      <c r="T1651" s="1477"/>
      <c r="U1651" s="1477"/>
      <c r="V1651" s="1477"/>
      <c r="W1651" s="1477"/>
      <c r="X1651" s="1477"/>
      <c r="Y1651" s="1477"/>
      <c r="Z1651" s="1477"/>
    </row>
    <row r="1652" spans="1:26" hidden="1" x14ac:dyDescent="0.25">
      <c r="A1652" s="1480" t="s">
        <v>220</v>
      </c>
      <c r="B1652" s="52" t="str">
        <f>IFERROR(_xlfn.CONCAT("D",MATCH(A1652,'Variable Costs &amp; Income'!D$1:D$60,0)),"")</f>
        <v>D30</v>
      </c>
      <c r="C1652" s="52" t="str">
        <f>IFERROR(_xlfn.CONCAT("G",MATCH(A1652,'Variable Costs &amp; Income'!D$1:D$60,0)),"")</f>
        <v>G30</v>
      </c>
      <c r="D1652" s="867" t="s">
        <v>1365</v>
      </c>
      <c r="E1652" s="52" t="s">
        <v>210</v>
      </c>
      <c r="F1652" s="866" t="s">
        <v>2026</v>
      </c>
      <c r="G1652" s="1480" t="s">
        <v>1876</v>
      </c>
      <c r="H1652" s="1224" t="s">
        <v>2000</v>
      </c>
      <c r="I1652" s="1427"/>
      <c r="J1652" s="1480"/>
      <c r="K1652" s="1480"/>
      <c r="L1652" s="1480"/>
      <c r="M1652" s="1480"/>
      <c r="N1652" s="1480"/>
      <c r="O1652" s="1477"/>
      <c r="P1652" s="1477"/>
      <c r="Q1652" s="1477"/>
      <c r="R1652" s="1477"/>
      <c r="S1652" s="1477"/>
      <c r="T1652" s="1477"/>
      <c r="U1652" s="1477"/>
      <c r="V1652" s="1477"/>
      <c r="W1652" s="1477"/>
      <c r="X1652" s="1477"/>
      <c r="Y1652" s="1477"/>
      <c r="Z1652" s="1477"/>
    </row>
    <row r="1653" spans="1:26" hidden="1" x14ac:dyDescent="0.25">
      <c r="A1653" s="1480" t="s">
        <v>1179</v>
      </c>
      <c r="B1653" s="52" t="str">
        <f>IFERROR(_xlfn.CONCAT("D",MATCH(A1653,'Variable Costs &amp; Income'!D$1:D$60,0)),"")</f>
        <v>D17</v>
      </c>
      <c r="C1653" s="52" t="str">
        <f>IFERROR(_xlfn.CONCAT("E",MATCH(A1653,'Variable Costs &amp; Income'!D$1:D$60,0)),"")</f>
        <v>E17</v>
      </c>
      <c r="D1653" s="867" t="s">
        <v>1365</v>
      </c>
      <c r="E1653" s="52" t="s">
        <v>210</v>
      </c>
      <c r="F1653" s="1450" t="s">
        <v>2027</v>
      </c>
      <c r="G1653" s="1449" t="s">
        <v>1894</v>
      </c>
      <c r="H1653" s="1224" t="s">
        <v>2000</v>
      </c>
      <c r="I1653" s="1449"/>
      <c r="J1653" s="1449"/>
      <c r="K1653" s="1449"/>
      <c r="L1653" s="1449"/>
      <c r="M1653" s="1449"/>
      <c r="N1653" s="1449"/>
      <c r="O1653" s="1477"/>
      <c r="P1653" s="1477"/>
      <c r="Q1653" s="1477"/>
      <c r="R1653" s="1477"/>
      <c r="S1653" s="1477"/>
      <c r="T1653" s="1477"/>
      <c r="U1653" s="1477"/>
      <c r="V1653" s="1477"/>
      <c r="W1653" s="1477"/>
      <c r="X1653" s="1477"/>
      <c r="Y1653" s="1477"/>
      <c r="Z1653" s="1477"/>
    </row>
    <row r="1654" spans="1:26" hidden="1" x14ac:dyDescent="0.25">
      <c r="A1654" s="1480" t="s">
        <v>1178</v>
      </c>
      <c r="B1654" s="52" t="str">
        <f>IFERROR(_xlfn.CONCAT("D",MATCH(A1654,'Variable Costs &amp; Income'!D$1:D$60,0)),"")</f>
        <v>D15</v>
      </c>
      <c r="C1654" s="52" t="str">
        <f>IFERROR(_xlfn.CONCAT("E",MATCH(A1654,'Variable Costs &amp; Income'!D$1:D$60,0)),"")</f>
        <v>E15</v>
      </c>
      <c r="D1654" s="867" t="s">
        <v>1365</v>
      </c>
      <c r="E1654" s="52" t="s">
        <v>210</v>
      </c>
      <c r="F1654" s="1450" t="s">
        <v>2028</v>
      </c>
      <c r="G1654" s="1449" t="s">
        <v>1895</v>
      </c>
      <c r="H1654" s="1224" t="s">
        <v>2000</v>
      </c>
      <c r="I1654" s="1449"/>
      <c r="J1654" s="1449"/>
      <c r="K1654" s="1447"/>
      <c r="L1654" s="1447"/>
      <c r="M1654" s="1447"/>
      <c r="N1654" s="1447"/>
      <c r="O1654" s="1477"/>
      <c r="P1654" s="1477"/>
      <c r="Q1654" s="1477"/>
      <c r="R1654" s="1477"/>
      <c r="S1654" s="1477"/>
      <c r="T1654" s="1477"/>
      <c r="U1654" s="1477"/>
      <c r="V1654" s="1477"/>
      <c r="W1654" s="1477"/>
      <c r="X1654" s="1477"/>
      <c r="Y1654" s="1477"/>
      <c r="Z1654" s="1477"/>
    </row>
    <row r="1655" spans="1:26" hidden="1" x14ac:dyDescent="0.25">
      <c r="A1655" s="1480" t="s">
        <v>1264</v>
      </c>
      <c r="B1655" s="52" t="str">
        <f>IFERROR(_xlfn.CONCAT("D",MATCH(A1655,'Variable Costs &amp; Income'!D$1:D$60,0)),"")</f>
        <v>D11</v>
      </c>
      <c r="C1655" s="52" t="str">
        <f>IFERROR(_xlfn.CONCAT("E",MATCH(A1655,'Variable Costs &amp; Income'!D$1:D$60,0)),"")</f>
        <v>E11</v>
      </c>
      <c r="D1655" s="867" t="s">
        <v>1365</v>
      </c>
      <c r="E1655" s="52" t="s">
        <v>210</v>
      </c>
      <c r="F1655" s="1450" t="s">
        <v>2029</v>
      </c>
      <c r="G1655" s="1449" t="s">
        <v>1896</v>
      </c>
      <c r="H1655" s="1224" t="s">
        <v>2000</v>
      </c>
      <c r="I1655" s="1449"/>
      <c r="J1655" s="1447"/>
      <c r="K1655" s="1447"/>
      <c r="L1655" s="1447"/>
      <c r="M1655" s="1447"/>
      <c r="N1655" s="1447"/>
      <c r="O1655" s="1477"/>
      <c r="P1655" s="1477"/>
      <c r="Q1655" s="1477"/>
      <c r="R1655" s="1477"/>
      <c r="S1655" s="1477"/>
      <c r="T1655" s="1477"/>
      <c r="U1655" s="1477"/>
      <c r="V1655" s="1477"/>
      <c r="W1655" s="1477"/>
      <c r="X1655" s="1477"/>
      <c r="Y1655" s="1477"/>
      <c r="Z1655" s="1477"/>
    </row>
    <row r="1656" spans="1:26" hidden="1" x14ac:dyDescent="0.25">
      <c r="A1656" s="1480" t="s">
        <v>228</v>
      </c>
      <c r="B1656" s="52" t="str">
        <f>IFERROR(_xlfn.CONCAT("D",MATCH(A1656,'Variable Costs &amp; Income'!D$1:D$60,0)),"")</f>
        <v>D19</v>
      </c>
      <c r="C1656" s="52" t="str">
        <f>IFERROR(_xlfn.CONCAT("E",MATCH(A1656,'Variable Costs &amp; Income'!D$1:D$60,0)),"")</f>
        <v>E19</v>
      </c>
      <c r="D1656" s="867" t="s">
        <v>1365</v>
      </c>
      <c r="E1656" s="52" t="s">
        <v>210</v>
      </c>
      <c r="F1656" s="1450" t="s">
        <v>2052</v>
      </c>
      <c r="G1656" s="1449" t="s">
        <v>2033</v>
      </c>
      <c r="H1656" s="1224" t="s">
        <v>2000</v>
      </c>
      <c r="I1656" s="1448"/>
      <c r="J1656" s="1447"/>
      <c r="K1656" s="1447"/>
      <c r="L1656" s="1447"/>
      <c r="M1656" s="1447"/>
      <c r="N1656" s="1447"/>
      <c r="O1656" s="1477"/>
      <c r="P1656" s="1477"/>
      <c r="Q1656" s="1477"/>
      <c r="R1656" s="1477"/>
      <c r="S1656" s="1477"/>
      <c r="T1656" s="1477"/>
      <c r="U1656" s="1477"/>
      <c r="V1656" s="1477"/>
      <c r="W1656" s="1477"/>
      <c r="X1656" s="1477"/>
      <c r="Y1656" s="1477"/>
      <c r="Z1656" s="1477"/>
    </row>
    <row r="1657" spans="1:26" hidden="1" x14ac:dyDescent="0.25">
      <c r="A1657" s="1480" t="s">
        <v>228</v>
      </c>
      <c r="B1657" s="52" t="str">
        <f>IFERROR(_xlfn.CONCAT("D",MATCH(A1657,'Variable Costs &amp; Income'!D$1:D$60,0)),"")</f>
        <v>D19</v>
      </c>
      <c r="C1657" s="52" t="str">
        <f>IFERROR(_xlfn.CONCAT("I",MATCH(A1657,'Variable Costs &amp; Income'!D$1:D$60,0)),"")</f>
        <v>I19</v>
      </c>
      <c r="D1657" s="867" t="s">
        <v>1365</v>
      </c>
      <c r="E1657" s="52" t="s">
        <v>210</v>
      </c>
      <c r="F1657" s="1450" t="s">
        <v>2053</v>
      </c>
      <c r="G1657" s="1449" t="s">
        <v>1897</v>
      </c>
      <c r="H1657" s="1224" t="s">
        <v>2000</v>
      </c>
      <c r="I1657" s="1448"/>
      <c r="J1657" s="1447"/>
      <c r="K1657" s="1447"/>
      <c r="L1657" s="1447"/>
      <c r="M1657" s="1447"/>
      <c r="N1657" s="1447"/>
      <c r="O1657" s="1477"/>
      <c r="P1657" s="1477"/>
      <c r="Q1657" s="1477"/>
      <c r="R1657" s="1477"/>
      <c r="S1657" s="1477"/>
      <c r="T1657" s="1477"/>
      <c r="U1657" s="1477"/>
      <c r="V1657" s="1477"/>
      <c r="W1657" s="1477"/>
      <c r="X1657" s="1477"/>
      <c r="Y1657" s="1477"/>
      <c r="Z1657" s="1477"/>
    </row>
    <row r="1658" spans="1:26" hidden="1" x14ac:dyDescent="0.25">
      <c r="A1658" s="1480" t="s">
        <v>228</v>
      </c>
      <c r="B1658" s="52" t="str">
        <f>IFERROR(_xlfn.CONCAT("D",MATCH(A1658,'Variable Costs &amp; Income'!D$1:D$60,0)),"")</f>
        <v>D19</v>
      </c>
      <c r="C1658" s="52" t="str">
        <f>IFERROR(_xlfn.CONCAT("G",MATCH(A1658,'Variable Costs &amp; Income'!D$1:D$60,0)),"")</f>
        <v>G19</v>
      </c>
      <c r="D1658" s="867" t="s">
        <v>1365</v>
      </c>
      <c r="E1658" s="52" t="s">
        <v>210</v>
      </c>
      <c r="F1658" s="1450" t="s">
        <v>2054</v>
      </c>
      <c r="G1658" s="1447" t="s">
        <v>1898</v>
      </c>
      <c r="H1658" s="1224" t="s">
        <v>2000</v>
      </c>
      <c r="I1658" s="1448"/>
      <c r="J1658" s="1447"/>
      <c r="K1658" s="1447"/>
      <c r="L1658" s="1447"/>
      <c r="M1658" s="1447"/>
      <c r="N1658" s="1447"/>
      <c r="O1658" s="1477"/>
      <c r="P1658" s="1477"/>
      <c r="Q1658" s="1477"/>
      <c r="R1658" s="1477"/>
      <c r="S1658" s="1477"/>
      <c r="T1658" s="1477"/>
      <c r="U1658" s="1477"/>
      <c r="V1658" s="1477"/>
      <c r="W1658" s="1477"/>
      <c r="X1658" s="1477"/>
      <c r="Y1658" s="1477"/>
      <c r="Z1658" s="1477"/>
    </row>
    <row r="1659" spans="1:26" hidden="1" x14ac:dyDescent="0.25">
      <c r="A1659" s="1480" t="s">
        <v>1105</v>
      </c>
      <c r="B1659" s="52" t="str">
        <f>IFERROR(_xlfn.CONCAT("D",MATCH(A1659,'Variable Costs &amp; Income'!D$1:D$60,0)),"")</f>
        <v>D13</v>
      </c>
      <c r="C1659" s="52" t="str">
        <f>IFERROR(_xlfn.CONCAT("E",MATCH(A1659,'Variable Costs &amp; Income'!D$1:D$60,0)),"")</f>
        <v>E13</v>
      </c>
      <c r="D1659" s="867" t="s">
        <v>1365</v>
      </c>
      <c r="E1659" s="52" t="s">
        <v>210</v>
      </c>
      <c r="F1659" s="1450" t="s">
        <v>2030</v>
      </c>
      <c r="G1659" s="1449" t="s">
        <v>1899</v>
      </c>
      <c r="H1659" s="1224" t="s">
        <v>2000</v>
      </c>
      <c r="I1659" s="1448"/>
      <c r="J1659" s="1447"/>
      <c r="K1659" s="1447"/>
      <c r="L1659" s="1447"/>
      <c r="M1659" s="1447"/>
      <c r="N1659" s="1447"/>
      <c r="O1659" s="1477"/>
      <c r="P1659" s="1477"/>
      <c r="Q1659" s="1477"/>
      <c r="R1659" s="1477"/>
      <c r="S1659" s="1477"/>
      <c r="T1659" s="1477"/>
      <c r="U1659" s="1477"/>
      <c r="V1659" s="1477"/>
      <c r="W1659" s="1477"/>
      <c r="X1659" s="1477"/>
      <c r="Y1659" s="1477"/>
      <c r="Z1659" s="1477"/>
    </row>
    <row r="1660" spans="1:26" hidden="1" x14ac:dyDescent="0.25">
      <c r="A1660" s="1480" t="s">
        <v>1105</v>
      </c>
      <c r="B1660" s="52" t="str">
        <f>IFERROR(_xlfn.CONCAT("D",MATCH(A1660,'Variable Costs &amp; Income'!D$1:D$60,0)),"")</f>
        <v>D13</v>
      </c>
      <c r="C1660" s="52" t="str">
        <f>IFERROR(_xlfn.CONCAT("I",MATCH(A1660,'Variable Costs &amp; Income'!D$1:D$60,0)),"")</f>
        <v>I13</v>
      </c>
      <c r="D1660" s="867" t="s">
        <v>1365</v>
      </c>
      <c r="E1660" s="52" t="s">
        <v>210</v>
      </c>
      <c r="F1660" s="1450" t="s">
        <v>2031</v>
      </c>
      <c r="G1660" s="1449" t="s">
        <v>1900</v>
      </c>
      <c r="H1660" s="1224" t="s">
        <v>2000</v>
      </c>
      <c r="I1660" s="1448"/>
      <c r="J1660" s="1447"/>
      <c r="K1660" s="1447"/>
      <c r="L1660" s="1447"/>
      <c r="M1660" s="1447"/>
      <c r="N1660" s="1447"/>
      <c r="O1660" s="1477"/>
      <c r="P1660" s="1477"/>
      <c r="Q1660" s="1477"/>
      <c r="R1660" s="1477"/>
      <c r="S1660" s="1477"/>
      <c r="T1660" s="1477"/>
      <c r="U1660" s="1477"/>
      <c r="V1660" s="1477"/>
      <c r="W1660" s="1477"/>
      <c r="X1660" s="1477"/>
      <c r="Y1660" s="1477"/>
      <c r="Z1660" s="1477"/>
    </row>
    <row r="1661" spans="1:26" hidden="1" x14ac:dyDescent="0.25">
      <c r="A1661" s="1480" t="s">
        <v>1105</v>
      </c>
      <c r="B1661" s="52" t="str">
        <f>IFERROR(_xlfn.CONCAT("D",MATCH(A1661,'Variable Costs &amp; Income'!D$1:D$60,0)),"")</f>
        <v>D13</v>
      </c>
      <c r="C1661" s="52" t="str">
        <f>IFERROR(_xlfn.CONCAT("G",MATCH(A1661,'Variable Costs &amp; Income'!D$1:D$60,0)),"")</f>
        <v>G13</v>
      </c>
      <c r="D1661" s="867" t="s">
        <v>1365</v>
      </c>
      <c r="E1661" s="52" t="s">
        <v>210</v>
      </c>
      <c r="F1661" s="1450" t="s">
        <v>2032</v>
      </c>
      <c r="G1661" s="1447" t="s">
        <v>2034</v>
      </c>
      <c r="H1661" s="1224" t="s">
        <v>2000</v>
      </c>
      <c r="I1661" s="1448"/>
      <c r="J1661" s="1447"/>
      <c r="K1661" s="1447"/>
      <c r="L1661" s="1447"/>
      <c r="M1661" s="1447"/>
      <c r="N1661" s="1447"/>
      <c r="O1661" s="1477"/>
      <c r="P1661" s="1477"/>
      <c r="Q1661" s="1477"/>
      <c r="R1661" s="1477"/>
      <c r="S1661" s="1477"/>
      <c r="T1661" s="1477"/>
      <c r="U1661" s="1477"/>
      <c r="V1661" s="1477"/>
      <c r="W1661" s="1477"/>
      <c r="X1661" s="1477"/>
      <c r="Y1661" s="1477"/>
      <c r="Z1661" s="1477"/>
    </row>
    <row r="1662" spans="1:26" hidden="1" x14ac:dyDescent="0.25">
      <c r="A1662" s="1480" t="s">
        <v>2035</v>
      </c>
      <c r="B1662" s="52" t="str">
        <f>IFERROR(_xlfn.CONCAT("D",MATCH(A1662,'Variable Costs &amp; Income'!D$1:D$60,0)),"")</f>
        <v>D35</v>
      </c>
      <c r="C1662" s="52" t="str">
        <f>IFERROR(_xlfn.CONCAT("E",MATCH(A1662,'Variable Costs &amp; Income'!D$1:D$60,0)),"")</f>
        <v>E35</v>
      </c>
      <c r="D1662" s="867" t="s">
        <v>1365</v>
      </c>
      <c r="E1662" s="52" t="s">
        <v>210</v>
      </c>
      <c r="F1662" s="1450" t="s">
        <v>2041</v>
      </c>
      <c r="G1662" s="1449" t="s">
        <v>2036</v>
      </c>
      <c r="H1662" s="1224" t="s">
        <v>2000</v>
      </c>
      <c r="I1662" s="1448"/>
      <c r="J1662" s="1447"/>
      <c r="K1662" s="1447"/>
      <c r="L1662" s="1447"/>
      <c r="M1662" s="1447"/>
      <c r="N1662" s="1447"/>
      <c r="O1662" s="1477"/>
      <c r="P1662" s="1477"/>
      <c r="Q1662" s="1477"/>
      <c r="R1662" s="1477"/>
      <c r="S1662" s="1477"/>
      <c r="T1662" s="1477"/>
      <c r="U1662" s="1477"/>
      <c r="V1662" s="1477"/>
      <c r="W1662" s="1477"/>
      <c r="X1662" s="1477"/>
      <c r="Y1662" s="1477"/>
      <c r="Z1662" s="1477"/>
    </row>
    <row r="1663" spans="1:26" hidden="1" x14ac:dyDescent="0.25">
      <c r="A1663" s="1480" t="s">
        <v>1271</v>
      </c>
      <c r="B1663" s="52" t="str">
        <f>IFERROR(_xlfn.CONCAT("D",MATCH(A1663,'Variable Costs &amp; Income'!D$1:D$60,0)),"")</f>
        <v>D36</v>
      </c>
      <c r="C1663" s="52" t="str">
        <f>IFERROR(_xlfn.CONCAT("G",MATCH(A1663,'Variable Costs &amp; Income'!D$1:D$60,0)),"")</f>
        <v>G36</v>
      </c>
      <c r="D1663" s="867" t="s">
        <v>1365</v>
      </c>
      <c r="E1663" s="52" t="s">
        <v>210</v>
      </c>
      <c r="F1663" s="1450" t="s">
        <v>2040</v>
      </c>
      <c r="G1663" s="1449" t="s">
        <v>2037</v>
      </c>
      <c r="H1663" s="1224" t="s">
        <v>2000</v>
      </c>
      <c r="I1663" s="1448"/>
      <c r="J1663" s="1447"/>
      <c r="K1663" s="1447"/>
      <c r="L1663" s="1447"/>
      <c r="M1663" s="1447"/>
      <c r="N1663" s="1447"/>
      <c r="O1663" s="1477"/>
      <c r="P1663" s="1477"/>
      <c r="Q1663" s="1477"/>
      <c r="R1663" s="1477"/>
      <c r="S1663" s="1477"/>
      <c r="T1663" s="1477"/>
      <c r="U1663" s="1477"/>
      <c r="V1663" s="1477"/>
      <c r="W1663" s="1477"/>
      <c r="X1663" s="1477"/>
      <c r="Y1663" s="1477"/>
      <c r="Z1663" s="1477"/>
    </row>
    <row r="1664" spans="1:26" hidden="1" x14ac:dyDescent="0.25">
      <c r="A1664" s="1480" t="s">
        <v>1271</v>
      </c>
      <c r="B1664" s="52" t="str">
        <f>IFERROR(_xlfn.CONCAT("D",MATCH(A1664,'Variable Costs &amp; Income'!D$1:D$60,0)),"")</f>
        <v>D36</v>
      </c>
      <c r="C1664" s="52" t="str">
        <f>IFERROR(_xlfn.CONCAT("E",MATCH(A1664,'Variable Costs &amp; Income'!D$1:D$60,0)),"")</f>
        <v>E36</v>
      </c>
      <c r="D1664" s="867" t="s">
        <v>1365</v>
      </c>
      <c r="E1664" s="52" t="s">
        <v>210</v>
      </c>
      <c r="F1664" s="1450" t="s">
        <v>2039</v>
      </c>
      <c r="G1664" s="1447" t="s">
        <v>2038</v>
      </c>
      <c r="H1664" s="1224" t="s">
        <v>2000</v>
      </c>
      <c r="I1664" s="1427"/>
      <c r="J1664" s="1480"/>
      <c r="K1664" s="1480"/>
      <c r="L1664" s="1480"/>
      <c r="M1664" s="1480"/>
      <c r="N1664" s="1480"/>
      <c r="O1664" s="1477"/>
      <c r="P1664" s="1477"/>
      <c r="Q1664" s="1477"/>
      <c r="R1664" s="1477"/>
      <c r="S1664" s="1477"/>
      <c r="T1664" s="1477"/>
      <c r="U1664" s="1477"/>
      <c r="V1664" s="1477"/>
      <c r="W1664" s="1477"/>
      <c r="X1664" s="1477"/>
      <c r="Y1664" s="1477"/>
      <c r="Z1664" s="1477"/>
    </row>
    <row r="1665" spans="1:26" hidden="1" x14ac:dyDescent="0.25">
      <c r="A1665" s="1480"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80" t="s">
        <v>2055</v>
      </c>
      <c r="G1665" s="1449" t="s">
        <v>1370</v>
      </c>
      <c r="H1665" s="1224" t="s">
        <v>2000</v>
      </c>
      <c r="I1665" s="1427"/>
      <c r="J1665" s="1480"/>
      <c r="K1665" s="1480"/>
      <c r="L1665" s="1480"/>
      <c r="M1665" s="1480"/>
      <c r="N1665" s="1480"/>
      <c r="O1665" s="1477"/>
      <c r="P1665" s="1477"/>
      <c r="Q1665" s="1477"/>
      <c r="R1665" s="1477"/>
      <c r="S1665" s="1477"/>
      <c r="T1665" s="1477"/>
      <c r="U1665" s="1477"/>
      <c r="V1665" s="1477"/>
      <c r="W1665" s="1477"/>
      <c r="X1665" s="1477"/>
      <c r="Y1665" s="1477"/>
      <c r="Z1665" s="1477"/>
    </row>
    <row r="1666" spans="1:26"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80" t="str">
        <f>IF(S1666&lt;&gt;"","G","")</f>
        <v>G</v>
      </c>
      <c r="H1666" s="1480" t="s">
        <v>2057</v>
      </c>
      <c r="I1666" s="1427"/>
      <c r="J1666" s="1480"/>
      <c r="K1666" s="1480"/>
      <c r="L1666" s="1480"/>
      <c r="M1666" s="1480"/>
      <c r="N1666" s="1480"/>
      <c r="O1666" s="1477"/>
      <c r="P1666" s="1477"/>
      <c r="Q1666" s="1477"/>
      <c r="R1666" s="1480" t="s">
        <v>857</v>
      </c>
      <c r="S1666" s="1480">
        <f>IF(Q$570="Yes",1,"")</f>
        <v>1</v>
      </c>
      <c r="T1666" s="1477"/>
      <c r="U1666" s="1477"/>
      <c r="V1666" s="1477"/>
      <c r="W1666" s="1477"/>
      <c r="X1666" s="1477"/>
      <c r="Y1666" s="1477"/>
      <c r="Z1666" s="1477"/>
    </row>
    <row r="1667" spans="1:26"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80" t="str">
        <f>IF(S1667&lt;&gt;"","E","")</f>
        <v>E</v>
      </c>
      <c r="H1667" s="1480" t="s">
        <v>2057</v>
      </c>
      <c r="I1667" s="1427"/>
      <c r="J1667" s="1480"/>
      <c r="K1667" s="1480"/>
      <c r="L1667" s="1480"/>
      <c r="M1667" s="1480"/>
      <c r="N1667" s="1480"/>
      <c r="O1667" s="1477"/>
      <c r="P1667" s="1477"/>
      <c r="Q1667" s="1477"/>
      <c r="R1667" s="1480" t="s">
        <v>857</v>
      </c>
      <c r="S1667" s="1480">
        <f>IF(Q$570="Yes",1,"")</f>
        <v>1</v>
      </c>
      <c r="T1667" s="1477"/>
      <c r="U1667" s="1477"/>
      <c r="V1667" s="1477"/>
      <c r="W1667" s="1477"/>
      <c r="X1667" s="1477"/>
      <c r="Y1667" s="1477"/>
      <c r="Z1667" s="1477"/>
    </row>
    <row r="1668" spans="1:26"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80" t="str">
        <f>IF(S1668&lt;&gt;"","G","")</f>
        <v/>
      </c>
      <c r="H1668" s="1480" t="s">
        <v>2057</v>
      </c>
      <c r="I1668" s="1427"/>
      <c r="J1668" s="1480"/>
      <c r="K1668" s="1480"/>
      <c r="L1668" s="1480"/>
      <c r="M1668" s="1480"/>
      <c r="N1668" s="1480"/>
      <c r="O1668" s="1477"/>
      <c r="P1668" s="1477"/>
      <c r="Q1668" s="1477"/>
      <c r="R1668" s="1480" t="s">
        <v>857</v>
      </c>
      <c r="S1668" s="1480" t="str">
        <f>IF(Q$589="Yes",2,"")</f>
        <v/>
      </c>
      <c r="T1668" s="1477"/>
      <c r="U1668" s="1477"/>
      <c r="V1668" s="1477"/>
      <c r="W1668" s="1477"/>
      <c r="X1668" s="1477"/>
      <c r="Y1668" s="1477"/>
      <c r="Z1668" s="1477"/>
    </row>
    <row r="1669" spans="1:26"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80" t="str">
        <f>IF(S1669&lt;&gt;"","E","")</f>
        <v/>
      </c>
      <c r="H1669" s="1480" t="s">
        <v>2057</v>
      </c>
      <c r="I1669" s="1427"/>
      <c r="J1669" s="1480"/>
      <c r="K1669" s="1480"/>
      <c r="L1669" s="1480"/>
      <c r="M1669" s="1480"/>
      <c r="N1669" s="1480"/>
      <c r="O1669" s="1477"/>
      <c r="P1669" s="1477"/>
      <c r="Q1669" s="1477"/>
      <c r="R1669" s="1480" t="s">
        <v>857</v>
      </c>
      <c r="S1669" s="1480" t="str">
        <f>IF(Q$589="Yes",2,"")</f>
        <v/>
      </c>
      <c r="T1669" s="1477"/>
      <c r="U1669" s="1477"/>
      <c r="V1669" s="1477"/>
      <c r="W1669" s="1477"/>
      <c r="X1669" s="1477"/>
      <c r="Y1669" s="1477"/>
      <c r="Z1669" s="1477"/>
    </row>
    <row r="1670" spans="1:26"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80" t="str">
        <f>IF(S1670&lt;&gt;"","G","")</f>
        <v/>
      </c>
      <c r="H1670" s="1480" t="s">
        <v>2057</v>
      </c>
      <c r="I1670" s="1427"/>
      <c r="J1670" s="1480"/>
      <c r="K1670" s="1480"/>
      <c r="L1670" s="1480"/>
      <c r="M1670" s="1480"/>
      <c r="N1670" s="1480"/>
      <c r="O1670" s="1477"/>
      <c r="P1670" s="1477"/>
      <c r="Q1670" s="1477"/>
      <c r="R1670" s="1480" t="s">
        <v>857</v>
      </c>
      <c r="S1670" s="1480" t="str">
        <f>IF(Q$608="Yes",3,"")</f>
        <v/>
      </c>
      <c r="T1670" s="1477"/>
      <c r="U1670" s="1477"/>
      <c r="V1670" s="1477"/>
      <c r="W1670" s="1477"/>
      <c r="X1670" s="1477"/>
      <c r="Y1670" s="1477"/>
      <c r="Z1670" s="1477"/>
    </row>
    <row r="1671" spans="1:26" x14ac:dyDescent="0.25">
      <c r="A1671" s="929" t="s">
        <v>1521</v>
      </c>
      <c r="B1671" s="906" t="str">
        <f ca="1">_xlfn.IFNA(_xlfn.CONCAT(SUBSTITUTE(ADDRESS(1,MATCH(A1671,INDIRECT("'"&amp;E1671&amp;"'"&amp;"!A" &amp; $O$608+5 &amp; ":Z" &amp; $O$608+5),0),4),1,""),$O$608+6),"")</f>
        <v>P65</v>
      </c>
      <c r="C1671" s="906" t="str">
        <f t="shared" ref="C1671" ca="1" si="246">_xlfn.IFNA(SUBSTITUTE(ADDRESS(1,MATCH(A1671,INDIRECT("'"&amp;E1671&amp;"'"&amp;"!A" &amp; O$608+5 &amp; ":Z" &amp; O$608+5),0),4),1,""),"")</f>
        <v>P</v>
      </c>
      <c r="D1671" s="906" t="s">
        <v>1372</v>
      </c>
      <c r="E1671" s="906" t="s">
        <v>1535</v>
      </c>
      <c r="F1671" s="923" t="s">
        <v>2059</v>
      </c>
      <c r="G1671" s="1480" t="str">
        <f>IF(S1671&lt;&gt;"","E","")</f>
        <v/>
      </c>
      <c r="H1671" s="1480" t="s">
        <v>2057</v>
      </c>
      <c r="I1671" s="1427"/>
      <c r="J1671" s="1480"/>
      <c r="K1671" s="1480"/>
      <c r="L1671" s="1480"/>
      <c r="M1671" s="1480"/>
      <c r="N1671" s="1480"/>
      <c r="O1671" s="1477"/>
      <c r="P1671" s="1477"/>
      <c r="Q1671" s="1477"/>
      <c r="R1671" s="1480" t="s">
        <v>857</v>
      </c>
      <c r="S1671" s="1480" t="str">
        <f>IF(Q$608="Yes",3,"")</f>
        <v/>
      </c>
      <c r="T1671" s="1477"/>
      <c r="U1671" s="1477"/>
      <c r="V1671" s="1477"/>
      <c r="W1671" s="1477"/>
      <c r="X1671" s="1477"/>
      <c r="Y1671" s="1477"/>
      <c r="Z1671" s="1477"/>
    </row>
    <row r="1672" spans="1:26" x14ac:dyDescent="0.25">
      <c r="A1672" s="932" t="s">
        <v>1520</v>
      </c>
      <c r="B1672" s="906" t="str">
        <f ca="1">_xlfn.IFNA(_xlfn.CONCAT(SUBSTITUTE(ADDRESS(1,MATCH(A1672,INDIRECT("'"&amp;E1672&amp;"'"&amp;"!A" &amp; $O$639 + 5 &amp; ":Z" &amp; $O$639 + 5),0),4),1,""), $O$639 + 6),"")</f>
        <v>N81</v>
      </c>
      <c r="C1672" s="906" t="str">
        <f t="shared" ref="C1672:C1673" ca="1" si="247">_xlfn.IFNA(SUBSTITUTE(ADDRESS(1,MATCH(A1672,INDIRECT("'"&amp;E1672&amp;"'"&amp;"!A" &amp; $O$639 + 5 &amp; ":Z" &amp; $O$639 + 5),0),4),1,""),"")</f>
        <v>N</v>
      </c>
      <c r="D1672" s="906" t="s">
        <v>1372</v>
      </c>
      <c r="E1672" s="906" t="s">
        <v>1535</v>
      </c>
      <c r="F1672" s="923" t="s">
        <v>2058</v>
      </c>
      <c r="G1672" s="1480" t="str">
        <f>IF(S1672&lt;&gt;"","G","")</f>
        <v/>
      </c>
      <c r="H1672" s="1480" t="s">
        <v>2057</v>
      </c>
      <c r="I1672" s="1427"/>
      <c r="J1672" s="1480"/>
      <c r="K1672" s="1480"/>
      <c r="L1672" s="1480"/>
      <c r="M1672" s="1480"/>
      <c r="N1672" s="1480"/>
      <c r="O1672" s="1477"/>
      <c r="P1672" s="1477"/>
      <c r="Q1672" s="1477"/>
      <c r="R1672" s="623" t="s">
        <v>857</v>
      </c>
      <c r="S1672" s="1480" t="str">
        <f>IF(Q$639="Yes",4,"")</f>
        <v/>
      </c>
      <c r="T1672" s="1477"/>
      <c r="U1672" s="1477"/>
      <c r="V1672" s="1477"/>
      <c r="W1672" s="1477"/>
      <c r="X1672" s="1477"/>
      <c r="Y1672" s="1477"/>
      <c r="Z1672" s="1477"/>
    </row>
    <row r="1673" spans="1:26" x14ac:dyDescent="0.25">
      <c r="A1673" s="932" t="s">
        <v>1521</v>
      </c>
      <c r="B1673" s="906" t="str">
        <f ca="1">_xlfn.IFNA(_xlfn.CONCAT(SUBSTITUTE(ADDRESS(1,MATCH(A1673,INDIRECT("'"&amp;E1673&amp;"'"&amp;"!A" &amp; $O$639 + 5 &amp; ":Z" &amp; $O$639 + 5),0),4),1,""), $O$639 + 6),"")</f>
        <v>P81</v>
      </c>
      <c r="C1673" s="906" t="str">
        <f t="shared" ca="1" si="247"/>
        <v>P</v>
      </c>
      <c r="D1673" s="906" t="s">
        <v>1372</v>
      </c>
      <c r="E1673" s="906" t="s">
        <v>1535</v>
      </c>
      <c r="F1673" s="923" t="s">
        <v>2059</v>
      </c>
      <c r="G1673" s="1480" t="str">
        <f>IF(S1673&lt;&gt;"","E","")</f>
        <v/>
      </c>
      <c r="H1673" s="1480" t="s">
        <v>2057</v>
      </c>
      <c r="I1673" s="1427"/>
      <c r="J1673" s="1480"/>
      <c r="K1673" s="1480"/>
      <c r="L1673" s="1480"/>
      <c r="M1673" s="1480"/>
      <c r="N1673" s="1480"/>
      <c r="O1673" s="1477"/>
      <c r="P1673" s="1477"/>
      <c r="Q1673" s="1477"/>
      <c r="R1673" s="623" t="s">
        <v>857</v>
      </c>
      <c r="S1673" s="1480" t="str">
        <f>IF(Q$639="Yes",4,"")</f>
        <v/>
      </c>
      <c r="T1673" s="1477"/>
      <c r="U1673" s="1477"/>
      <c r="V1673" s="1477"/>
      <c r="W1673" s="1477"/>
      <c r="X1673" s="1477"/>
      <c r="Y1673" s="1477"/>
      <c r="Z1673" s="1477"/>
    </row>
    <row r="1674" spans="1:26"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80" t="str">
        <f>IF(S1674&lt;&gt;"","G","")</f>
        <v>G</v>
      </c>
      <c r="H1674" s="1480" t="s">
        <v>2057</v>
      </c>
      <c r="I1674" s="1427"/>
      <c r="J1674" s="1480"/>
      <c r="K1674" s="1480"/>
      <c r="L1674" s="1480"/>
      <c r="M1674" s="1480"/>
      <c r="N1674" s="1480"/>
      <c r="O1674" s="1477"/>
      <c r="P1674" s="1477"/>
      <c r="Q1674" s="1477"/>
      <c r="R1674" s="1480" t="s">
        <v>1544</v>
      </c>
      <c r="S1674" s="1480">
        <f>IF(Q$670="Yes",5,"")</f>
        <v>5</v>
      </c>
      <c r="T1674" s="1477"/>
      <c r="U1674" s="1477"/>
      <c r="V1674" s="1477"/>
      <c r="W1674" s="1477"/>
      <c r="X1674" s="1477"/>
      <c r="Y1674" s="1477"/>
      <c r="Z1674" s="1477"/>
    </row>
    <row r="1675" spans="1:26"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80" t="str">
        <f>IF(S1675&lt;&gt;"","E","")</f>
        <v>E</v>
      </c>
      <c r="H1675" s="1480" t="s">
        <v>2057</v>
      </c>
      <c r="I1675" s="1427"/>
      <c r="J1675" s="1480"/>
      <c r="K1675" s="1480"/>
      <c r="L1675" s="1480"/>
      <c r="M1675" s="1480"/>
      <c r="N1675" s="1480"/>
      <c r="O1675" s="1477"/>
      <c r="P1675" s="1477"/>
      <c r="Q1675" s="1477"/>
      <c r="R1675" s="1480" t="s">
        <v>1544</v>
      </c>
      <c r="S1675" s="1480">
        <f>IF(Q$670="Yes",5,"")</f>
        <v>5</v>
      </c>
      <c r="T1675" s="1477"/>
      <c r="U1675" s="1477"/>
      <c r="V1675" s="1477"/>
      <c r="W1675" s="1477"/>
      <c r="X1675" s="1477"/>
      <c r="Y1675" s="1477"/>
      <c r="Z1675" s="1477"/>
    </row>
    <row r="1676" spans="1:26"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80" t="str">
        <f>IF(S1676&lt;&gt;"","G","")</f>
        <v/>
      </c>
      <c r="H1676" s="1480" t="s">
        <v>2057</v>
      </c>
      <c r="I1676" s="1427"/>
      <c r="J1676" s="1480"/>
      <c r="K1676" s="1480"/>
      <c r="L1676" s="1480"/>
      <c r="M1676" s="1480"/>
      <c r="N1676" s="1480"/>
      <c r="O1676" s="1477"/>
      <c r="P1676" s="1477"/>
      <c r="Q1676" s="1477"/>
      <c r="R1676" s="1480" t="s">
        <v>1544</v>
      </c>
      <c r="S1676" s="1480" t="str">
        <f>IF(Q$688="Yes",6,"")</f>
        <v/>
      </c>
      <c r="T1676" s="1477"/>
      <c r="U1676" s="1477"/>
      <c r="V1676" s="1477"/>
      <c r="W1676" s="1477"/>
      <c r="X1676" s="1477"/>
      <c r="Y1676" s="1477"/>
      <c r="Z1676" s="1477"/>
    </row>
    <row r="1677" spans="1:26"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80" t="str">
        <f>IF(S1677&lt;&gt;"","E","")</f>
        <v/>
      </c>
      <c r="H1677" s="1480" t="s">
        <v>2057</v>
      </c>
      <c r="I1677" s="1427"/>
      <c r="J1677" s="1480"/>
      <c r="K1677" s="1480"/>
      <c r="L1677" s="1480"/>
      <c r="M1677" s="1480"/>
      <c r="N1677" s="1480"/>
      <c r="O1677" s="1477"/>
      <c r="P1677" s="1477"/>
      <c r="Q1677" s="1477"/>
      <c r="R1677" s="1480" t="s">
        <v>1544</v>
      </c>
      <c r="S1677" s="1480" t="str">
        <f>IF(Q$688="Yes",6,"")</f>
        <v/>
      </c>
      <c r="T1677" s="1477"/>
      <c r="U1677" s="1477"/>
      <c r="V1677" s="1477"/>
      <c r="W1677" s="1477"/>
      <c r="X1677" s="1477"/>
      <c r="Y1677" s="1477"/>
      <c r="Z1677" s="1477"/>
    </row>
    <row r="1678" spans="1:26" x14ac:dyDescent="0.25">
      <c r="A1678" s="929" t="s">
        <v>1520</v>
      </c>
      <c r="B1678" s="906" t="str">
        <f ca="1">_xlfn.IFNA(_xlfn.CONCAT(SUBSTITUTE(ADDRESS(1,MATCH(A1678,INDIRECT("'"&amp;E1678&amp;"'"&amp;"!A" &amp; $O$706 + 5 &amp; ":Z" &amp; $O$706+ 5),0),4),1,""),$O$706 + 6),"")</f>
        <v>N125</v>
      </c>
      <c r="C1678" s="906" t="str">
        <f t="shared" ref="C1678:C1679" ca="1" si="248">_xlfn.IFNA(SUBSTITUTE(ADDRESS(1,MATCH(A1678,INDIRECT("'"&amp;E1678&amp;"'"&amp;"!A" &amp; $O$706 + 5 &amp; ":Z" &amp; $O$706+ 5),0),4),1,""),"")</f>
        <v>N</v>
      </c>
      <c r="D1678" s="906" t="s">
        <v>1372</v>
      </c>
      <c r="E1678" s="906" t="s">
        <v>1535</v>
      </c>
      <c r="F1678" s="923" t="s">
        <v>2058</v>
      </c>
      <c r="G1678" s="1480" t="str">
        <f>IF(S1678&lt;&gt;"","G","")</f>
        <v/>
      </c>
      <c r="H1678" s="1480" t="s">
        <v>2057</v>
      </c>
      <c r="I1678" s="1427"/>
      <c r="J1678" s="1480"/>
      <c r="K1678" s="1480"/>
      <c r="L1678" s="1480"/>
      <c r="M1678" s="1480"/>
      <c r="N1678" s="1480"/>
      <c r="O1678" s="1477"/>
      <c r="P1678" s="1477"/>
      <c r="Q1678" s="1477"/>
      <c r="R1678" s="1480" t="s">
        <v>1544</v>
      </c>
      <c r="S1678" s="1480" t="str">
        <f>IF(Q$706="Yes",7,"")</f>
        <v/>
      </c>
      <c r="T1678" s="1477"/>
      <c r="U1678" s="1477"/>
      <c r="V1678" s="1477"/>
      <c r="W1678" s="1477"/>
      <c r="X1678" s="1477"/>
      <c r="Y1678" s="1477"/>
      <c r="Z1678" s="1477"/>
    </row>
    <row r="1679" spans="1:26" x14ac:dyDescent="0.25">
      <c r="A1679" s="929" t="s">
        <v>1521</v>
      </c>
      <c r="B1679" s="906" t="str">
        <f ca="1">_xlfn.IFNA(_xlfn.CONCAT(SUBSTITUTE(ADDRESS(1,MATCH(A1679,INDIRECT("'"&amp;E1679&amp;"'"&amp;"!A" &amp; $O$706 + 5 &amp; ":Z" &amp; $O$706+ 5),0),4),1,""),$O$706 + 6),"")</f>
        <v>P125</v>
      </c>
      <c r="C1679" s="906" t="str">
        <f t="shared" ca="1" si="248"/>
        <v>P</v>
      </c>
      <c r="D1679" s="906" t="s">
        <v>1372</v>
      </c>
      <c r="E1679" s="906" t="s">
        <v>1535</v>
      </c>
      <c r="F1679" s="923" t="s">
        <v>2059</v>
      </c>
      <c r="G1679" s="1480" t="str">
        <f>IF(S1679&lt;&gt;"","E","")</f>
        <v/>
      </c>
      <c r="H1679" s="1480" t="s">
        <v>2057</v>
      </c>
      <c r="I1679" s="1427"/>
      <c r="J1679" s="1480"/>
      <c r="K1679" s="1480"/>
      <c r="L1679" s="1480"/>
      <c r="M1679" s="1480"/>
      <c r="N1679" s="1480"/>
      <c r="O1679" s="1477"/>
      <c r="P1679" s="1477"/>
      <c r="Q1679" s="1477"/>
      <c r="R1679" s="1480" t="s">
        <v>1544</v>
      </c>
      <c r="S1679" s="1480" t="str">
        <f>IF(Q$706="Yes",7,"")</f>
        <v/>
      </c>
      <c r="T1679" s="1477"/>
      <c r="U1679" s="1477"/>
      <c r="V1679" s="1477"/>
      <c r="W1679" s="1477"/>
      <c r="X1679" s="1477"/>
      <c r="Y1679" s="1477"/>
      <c r="Z1679" s="1477"/>
    </row>
    <row r="1680" spans="1:26" x14ac:dyDescent="0.25">
      <c r="A1680" s="932" t="s">
        <v>1520</v>
      </c>
      <c r="B1680" s="906" t="str">
        <f ca="1">_xlfn.IFNA(_xlfn.CONCAT(SUBSTITUTE(ADDRESS(1,MATCH(A1680,INDIRECT("'"&amp;E1680&amp;"'"&amp;"!A" &amp; $O$736 + 5 &amp; ":Z" &amp; $O$736+ 5),0),4),1,""),$O$736 + 6),"")</f>
        <v>N141</v>
      </c>
      <c r="C1680" s="906" t="str">
        <f t="shared" ref="C1680:C1681" ca="1" si="249">_xlfn.IFNA(SUBSTITUTE(ADDRESS(1,MATCH(A1680,INDIRECT("'"&amp;E1680&amp;"'"&amp;"!A" &amp; $O$736 + 5 &amp; ":Z" &amp; $O$736+ 5),0),4),1,""),"")</f>
        <v>N</v>
      </c>
      <c r="D1680" s="906" t="s">
        <v>1372</v>
      </c>
      <c r="E1680" s="906" t="s">
        <v>1535</v>
      </c>
      <c r="F1680" s="923" t="s">
        <v>2058</v>
      </c>
      <c r="G1680" s="1480" t="str">
        <f>IF(S1680&lt;&gt;"","G","")</f>
        <v/>
      </c>
      <c r="H1680" s="1480" t="s">
        <v>2057</v>
      </c>
      <c r="I1680" s="1427"/>
      <c r="J1680" s="1480"/>
      <c r="K1680" s="1480"/>
      <c r="L1680" s="1480"/>
      <c r="M1680" s="1480"/>
      <c r="N1680" s="1480"/>
      <c r="O1680" s="1477"/>
      <c r="P1680" s="1477"/>
      <c r="Q1680" s="1477"/>
      <c r="R1680" s="1480" t="s">
        <v>1544</v>
      </c>
      <c r="S1680" s="1480" t="str">
        <f>IF(Q$736="Yes",8,"")</f>
        <v/>
      </c>
      <c r="T1680" s="1477"/>
      <c r="U1680" s="1477"/>
      <c r="V1680" s="1477"/>
      <c r="W1680" s="1477"/>
      <c r="X1680" s="1477"/>
      <c r="Y1680" s="1477"/>
      <c r="Z1680" s="1477"/>
    </row>
    <row r="1681" spans="1:26" x14ac:dyDescent="0.25">
      <c r="A1681" s="932" t="s">
        <v>1521</v>
      </c>
      <c r="B1681" s="906" t="str">
        <f ca="1">_xlfn.IFNA(_xlfn.CONCAT(SUBSTITUTE(ADDRESS(1,MATCH(A1681,INDIRECT("'"&amp;E1681&amp;"'"&amp;"!A" &amp; $O$736 + 5 &amp; ":Z" &amp; $O$736+ 5),0),4),1,""),$O$736 + 6),"")</f>
        <v>P141</v>
      </c>
      <c r="C1681" s="906" t="str">
        <f t="shared" ca="1" si="249"/>
        <v>P</v>
      </c>
      <c r="D1681" s="906" t="s">
        <v>1372</v>
      </c>
      <c r="E1681" s="906" t="s">
        <v>1535</v>
      </c>
      <c r="F1681" s="923" t="s">
        <v>2059</v>
      </c>
      <c r="G1681" s="1480" t="str">
        <f>IF(S1681&lt;&gt;"","E","")</f>
        <v/>
      </c>
      <c r="H1681" s="1480" t="s">
        <v>2057</v>
      </c>
      <c r="I1681" s="1427"/>
      <c r="J1681" s="1480"/>
      <c r="K1681" s="1480"/>
      <c r="L1681" s="1480"/>
      <c r="M1681" s="1480"/>
      <c r="N1681" s="1480"/>
      <c r="O1681" s="1477"/>
      <c r="P1681" s="1477"/>
      <c r="Q1681" s="1477"/>
      <c r="R1681" s="1480" t="s">
        <v>1544</v>
      </c>
      <c r="S1681" s="1480" t="str">
        <f>IF(Q$736="Yes",8,"")</f>
        <v/>
      </c>
      <c r="T1681" s="1477"/>
      <c r="U1681" s="1477"/>
      <c r="V1681" s="1477"/>
      <c r="W1681" s="1477"/>
      <c r="X1681" s="1477"/>
      <c r="Y1681" s="1477"/>
      <c r="Z1681" s="1477"/>
    </row>
    <row r="1682" spans="1:26"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80" t="str">
        <f>IF(S1682&lt;&gt;"","G","")</f>
        <v>G</v>
      </c>
      <c r="H1682" s="1480" t="s">
        <v>2057</v>
      </c>
      <c r="I1682" s="1427"/>
      <c r="J1682" s="1480"/>
      <c r="K1682" s="1480"/>
      <c r="L1682" s="1480"/>
      <c r="M1682" s="1480"/>
      <c r="N1682" s="1480"/>
      <c r="O1682" s="1477"/>
      <c r="P1682" s="1477"/>
      <c r="Q1682" s="1477"/>
      <c r="R1682" s="1480" t="s">
        <v>1550</v>
      </c>
      <c r="S1682" s="1480">
        <f>IF(Q$796="Yes",9,"")</f>
        <v>9</v>
      </c>
      <c r="T1682" s="1477"/>
      <c r="U1682" s="1477"/>
      <c r="V1682" s="1477"/>
      <c r="W1682" s="1477"/>
      <c r="X1682" s="1477"/>
      <c r="Y1682" s="1477"/>
      <c r="Z1682" s="1477"/>
    </row>
    <row r="1683" spans="1:26"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80" t="str">
        <f>IF(S1683&lt;&gt;"","E","")</f>
        <v>E</v>
      </c>
      <c r="H1683" s="1480" t="s">
        <v>2057</v>
      </c>
      <c r="I1683" s="1427"/>
      <c r="J1683" s="1480"/>
      <c r="K1683" s="1480"/>
      <c r="L1683" s="1480"/>
      <c r="M1683" s="1480"/>
      <c r="N1683" s="1480"/>
      <c r="O1683" s="1477"/>
      <c r="P1683" s="1477"/>
      <c r="Q1683" s="1477"/>
      <c r="R1683" s="1480" t="s">
        <v>1550</v>
      </c>
      <c r="S1683" s="1480">
        <f>IF(Q$796="Yes",9,"")</f>
        <v>9</v>
      </c>
      <c r="T1683" s="1477"/>
      <c r="U1683" s="1477"/>
      <c r="V1683" s="1477"/>
      <c r="W1683" s="1477"/>
      <c r="X1683" s="1477"/>
      <c r="Y1683" s="1477"/>
      <c r="Z1683" s="1477"/>
    </row>
    <row r="1684" spans="1:26"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80" t="str">
        <f>IF(S1684&lt;&gt;"","G","")</f>
        <v/>
      </c>
      <c r="H1684" s="1480" t="s">
        <v>2057</v>
      </c>
      <c r="I1684" s="1427"/>
      <c r="J1684" s="1480"/>
      <c r="K1684" s="1480"/>
      <c r="L1684" s="1480"/>
      <c r="M1684" s="1480"/>
      <c r="N1684" s="1480"/>
      <c r="O1684" s="1477"/>
      <c r="P1684" s="1477"/>
      <c r="Q1684" s="1477"/>
      <c r="R1684" s="1480" t="s">
        <v>1550</v>
      </c>
      <c r="S1684" s="1480" t="str">
        <f>IF(Q$814="Yes",10,"")</f>
        <v/>
      </c>
      <c r="T1684" s="1477"/>
      <c r="U1684" s="1477"/>
      <c r="V1684" s="1477"/>
      <c r="W1684" s="1477"/>
      <c r="X1684" s="1477"/>
      <c r="Y1684" s="1477"/>
      <c r="Z1684" s="1477"/>
    </row>
    <row r="1685" spans="1:26"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80" t="str">
        <f>IF(S1685&lt;&gt;"","E","")</f>
        <v/>
      </c>
      <c r="H1685" s="1480" t="s">
        <v>2057</v>
      </c>
      <c r="I1685" s="1427"/>
      <c r="J1685" s="1480"/>
      <c r="K1685" s="1480"/>
      <c r="L1685" s="1480"/>
      <c r="M1685" s="1480"/>
      <c r="N1685" s="1480"/>
      <c r="O1685" s="1477"/>
      <c r="P1685" s="1477"/>
      <c r="Q1685" s="1477"/>
      <c r="R1685" s="1480" t="s">
        <v>1550</v>
      </c>
      <c r="S1685" s="1480" t="str">
        <f>IF(Q$814="Yes",10,"")</f>
        <v/>
      </c>
      <c r="T1685" s="1477"/>
      <c r="U1685" s="1477"/>
      <c r="V1685" s="1477"/>
      <c r="W1685" s="1477"/>
      <c r="X1685" s="1477"/>
      <c r="Y1685" s="1477"/>
      <c r="Z1685" s="1477"/>
    </row>
    <row r="1686" spans="1:26" x14ac:dyDescent="0.25">
      <c r="A1686" s="929" t="s">
        <v>1520</v>
      </c>
      <c r="B1686" s="906" t="str">
        <f ca="1">_xlfn.IFNA(_xlfn.CONCAT(SUBSTITUTE(ADDRESS(1,MATCH(A1686,INDIRECT("'"&amp;E1686&amp;"'"&amp;"!A" &amp; $O$832 + 5 &amp; ":Z" &amp; $O$832+ 5),0),4),1,""),$O$832 + 6),"")</f>
        <v>N213</v>
      </c>
      <c r="C1686" s="906" t="str">
        <f t="shared" ref="C1686:C1687" ca="1" si="250">_xlfn.IFNA(SUBSTITUTE(ADDRESS(1,MATCH(A1686,INDIRECT("'"&amp;E1686&amp;"'"&amp;"!A" &amp; $O$832 + 5 &amp; ":Z" &amp; $O$832+ 5),0),4),1,""),"")</f>
        <v>N</v>
      </c>
      <c r="D1686" s="906" t="s">
        <v>1372</v>
      </c>
      <c r="E1686" s="906" t="s">
        <v>1535</v>
      </c>
      <c r="F1686" s="923" t="s">
        <v>2058</v>
      </c>
      <c r="G1686" s="1480" t="str">
        <f>IF(S1686&lt;&gt;"","G","")</f>
        <v/>
      </c>
      <c r="H1686" s="1480" t="s">
        <v>2057</v>
      </c>
      <c r="I1686" s="1427"/>
      <c r="J1686" s="1480"/>
      <c r="K1686" s="1480"/>
      <c r="L1686" s="1480"/>
      <c r="M1686" s="1480"/>
      <c r="N1686" s="1480"/>
      <c r="O1686" s="1477"/>
      <c r="P1686" s="1477"/>
      <c r="Q1686" s="1477"/>
      <c r="R1686" s="1480" t="s">
        <v>1550</v>
      </c>
      <c r="S1686" s="1480" t="str">
        <f>IF(Q$832="Yes",11,"")</f>
        <v/>
      </c>
      <c r="T1686" s="1477"/>
      <c r="U1686" s="1477"/>
      <c r="V1686" s="1477"/>
      <c r="W1686" s="1477"/>
      <c r="X1686" s="1477"/>
      <c r="Y1686" s="1477"/>
      <c r="Z1686" s="1477"/>
    </row>
    <row r="1687" spans="1:26" x14ac:dyDescent="0.25">
      <c r="A1687" s="929" t="s">
        <v>1521</v>
      </c>
      <c r="B1687" s="906" t="str">
        <f ca="1">_xlfn.IFNA(_xlfn.CONCAT(SUBSTITUTE(ADDRESS(1,MATCH(A1687,INDIRECT("'"&amp;E1687&amp;"'"&amp;"!A" &amp; $O$832 + 5 &amp; ":Z" &amp; $O$832+ 5),0),4),1,""),$O$832 + 6),"")</f>
        <v>P213</v>
      </c>
      <c r="C1687" s="906" t="str">
        <f t="shared" ca="1" si="250"/>
        <v>P</v>
      </c>
      <c r="D1687" s="906" t="s">
        <v>1372</v>
      </c>
      <c r="E1687" s="906" t="s">
        <v>1535</v>
      </c>
      <c r="F1687" s="923" t="s">
        <v>2059</v>
      </c>
      <c r="G1687" s="1480" t="str">
        <f>IF(S1687&lt;&gt;"","E","")</f>
        <v/>
      </c>
      <c r="H1687" s="1480" t="s">
        <v>2057</v>
      </c>
      <c r="I1687" s="1427"/>
      <c r="J1687" s="1480"/>
      <c r="K1687" s="1480"/>
      <c r="L1687" s="1480"/>
      <c r="M1687" s="1480"/>
      <c r="N1687" s="1480"/>
      <c r="O1687" s="1477"/>
      <c r="P1687" s="1477"/>
      <c r="Q1687" s="1477"/>
      <c r="R1687" s="1480" t="s">
        <v>1550</v>
      </c>
      <c r="S1687" s="1480" t="str">
        <f>IF(Q$832="Yes",11,"")</f>
        <v/>
      </c>
      <c r="T1687" s="1477"/>
      <c r="U1687" s="1477"/>
      <c r="V1687" s="1477"/>
      <c r="W1687" s="1477"/>
      <c r="X1687" s="1477"/>
      <c r="Y1687" s="1477"/>
      <c r="Z1687" s="1477"/>
    </row>
    <row r="1688" spans="1:26" x14ac:dyDescent="0.25">
      <c r="A1688" s="932" t="s">
        <v>1520</v>
      </c>
      <c r="B1688" s="906" t="str">
        <f ca="1">_xlfn.IFNA(_xlfn.CONCAT(SUBSTITUTE(ADDRESS(1,MATCH(A1688,INDIRECT("'"&amp;E1688&amp;"'"&amp;"!A" &amp; $O$862 + 5 &amp; ":Z" &amp; $O$862+ 5),0),4),1,""),$O$862 + 6),"")</f>
        <v>N229</v>
      </c>
      <c r="C1688" s="906" t="str">
        <f t="shared" ref="C1688:C1689" ca="1" si="251">_xlfn.IFNA(SUBSTITUTE(ADDRESS(1,MATCH(A1688,INDIRECT("'"&amp;E1688&amp;"'"&amp;"!A" &amp; $O$862 + 5 &amp; ":Z" &amp; $O$862+ 5),0),4),1,""),"")</f>
        <v>N</v>
      </c>
      <c r="D1688" s="906" t="s">
        <v>1372</v>
      </c>
      <c r="E1688" s="906" t="s">
        <v>1535</v>
      </c>
      <c r="F1688" s="923" t="s">
        <v>2058</v>
      </c>
      <c r="G1688" s="1480" t="str">
        <f>IF(S1688&lt;&gt;"","G","")</f>
        <v/>
      </c>
      <c r="H1688" s="1480" t="s">
        <v>2057</v>
      </c>
      <c r="I1688" s="1427"/>
      <c r="J1688" s="1480"/>
      <c r="K1688" s="1480"/>
      <c r="L1688" s="1480"/>
      <c r="M1688" s="1480"/>
      <c r="N1688" s="1480"/>
      <c r="O1688" s="1477"/>
      <c r="P1688" s="1477"/>
      <c r="Q1688" s="1477"/>
      <c r="R1688" s="1480" t="s">
        <v>1550</v>
      </c>
      <c r="S1688" s="1480" t="str">
        <f>IF(Q$862="Yes",12,"")</f>
        <v/>
      </c>
      <c r="T1688" s="1477"/>
      <c r="U1688" s="1477"/>
      <c r="V1688" s="1477"/>
      <c r="W1688" s="1477"/>
      <c r="X1688" s="1477"/>
      <c r="Y1688" s="1477"/>
      <c r="Z1688" s="1477"/>
    </row>
    <row r="1689" spans="1:26" x14ac:dyDescent="0.25">
      <c r="A1689" s="932" t="s">
        <v>1521</v>
      </c>
      <c r="B1689" s="906" t="str">
        <f ca="1">_xlfn.IFNA(_xlfn.CONCAT(SUBSTITUTE(ADDRESS(1,MATCH(A1689,INDIRECT("'"&amp;E1689&amp;"'"&amp;"!A" &amp; $O$862 + 5 &amp; ":Z" &amp; $O$862+ 5),0),4),1,""),$O$862 + 6),"")</f>
        <v>P229</v>
      </c>
      <c r="C1689" s="906" t="str">
        <f t="shared" ca="1" si="251"/>
        <v>P</v>
      </c>
      <c r="D1689" s="906" t="s">
        <v>1372</v>
      </c>
      <c r="E1689" s="906" t="s">
        <v>1535</v>
      </c>
      <c r="F1689" s="923" t="s">
        <v>2059</v>
      </c>
      <c r="G1689" s="1480" t="str">
        <f>IF(S1689&lt;&gt;"","E","")</f>
        <v/>
      </c>
      <c r="H1689" s="1480" t="s">
        <v>2057</v>
      </c>
      <c r="I1689" s="1427"/>
      <c r="J1689" s="1480"/>
      <c r="K1689" s="1480"/>
      <c r="L1689" s="1480"/>
      <c r="M1689" s="1480"/>
      <c r="N1689" s="1480"/>
      <c r="O1689" s="1477"/>
      <c r="P1689" s="1477"/>
      <c r="Q1689" s="1477"/>
      <c r="R1689" s="1480" t="s">
        <v>1550</v>
      </c>
      <c r="S1689" s="1480" t="str">
        <f>IF(Q$862="Yes",12,"")</f>
        <v/>
      </c>
      <c r="T1689" s="1477"/>
      <c r="U1689" s="1477"/>
      <c r="V1689" s="1477"/>
      <c r="W1689" s="1477"/>
      <c r="X1689" s="1477"/>
      <c r="Y1689" s="1477"/>
      <c r="Z1689" s="1477"/>
    </row>
    <row r="1690" spans="1:26"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80" t="str">
        <f>IF(S1690&lt;&gt;"","G","")</f>
        <v>G</v>
      </c>
      <c r="H1690" s="1480" t="s">
        <v>2057</v>
      </c>
      <c r="I1690" s="1427"/>
      <c r="J1690" s="1480"/>
      <c r="K1690" s="1480"/>
      <c r="L1690" s="1480"/>
      <c r="M1690" s="1480"/>
      <c r="N1690" s="1480"/>
      <c r="O1690" s="1477"/>
      <c r="P1690" s="1477"/>
      <c r="Q1690" s="1477"/>
      <c r="R1690" s="1480" t="s">
        <v>396</v>
      </c>
      <c r="S1690" s="1480">
        <f>IF(Q$892="Yes",13,"")</f>
        <v>13</v>
      </c>
      <c r="T1690" s="1477"/>
      <c r="U1690" s="1477"/>
      <c r="V1690" s="1477"/>
      <c r="W1690" s="1477"/>
      <c r="X1690" s="1477"/>
      <c r="Y1690" s="1477"/>
      <c r="Z1690" s="1477"/>
    </row>
    <row r="1691" spans="1:26"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80" t="str">
        <f>IF(S1691&lt;&gt;"","E","")</f>
        <v>E</v>
      </c>
      <c r="H1691" s="1480" t="s">
        <v>2057</v>
      </c>
      <c r="I1691" s="1427"/>
      <c r="J1691" s="1480"/>
      <c r="K1691" s="1480"/>
      <c r="L1691" s="1480"/>
      <c r="M1691" s="1480"/>
      <c r="N1691" s="1480"/>
      <c r="O1691" s="1477"/>
      <c r="P1691" s="1477"/>
      <c r="Q1691" s="1477"/>
      <c r="R1691" s="1480" t="s">
        <v>396</v>
      </c>
      <c r="S1691" s="1480">
        <f>IF(Q$892="Yes",13,"")</f>
        <v>13</v>
      </c>
      <c r="T1691" s="1477"/>
      <c r="U1691" s="1477"/>
      <c r="V1691" s="1477"/>
      <c r="W1691" s="1477"/>
      <c r="X1691" s="1477"/>
      <c r="Y1691" s="1477"/>
      <c r="Z1691" s="1477"/>
    </row>
    <row r="1692" spans="1:26"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80" t="str">
        <f>IF(S1692&lt;&gt;"","G","")</f>
        <v/>
      </c>
      <c r="H1692" s="1480" t="s">
        <v>2057</v>
      </c>
      <c r="I1692" s="1427"/>
      <c r="J1692" s="1480"/>
      <c r="K1692" s="1480"/>
      <c r="L1692" s="1480"/>
      <c r="M1692" s="1480"/>
      <c r="N1692" s="1480"/>
      <c r="O1692" s="1477"/>
      <c r="P1692" s="1477"/>
      <c r="Q1692" s="1477"/>
      <c r="R1692" s="1480" t="s">
        <v>396</v>
      </c>
      <c r="S1692" s="1480" t="str">
        <f>IF(Q$911="Yes",14,"")</f>
        <v/>
      </c>
      <c r="T1692" s="1477"/>
      <c r="U1692" s="1477"/>
      <c r="V1692" s="1477"/>
      <c r="W1692" s="1477"/>
      <c r="X1692" s="1477"/>
      <c r="Y1692" s="1477"/>
      <c r="Z1692" s="1477"/>
    </row>
    <row r="1693" spans="1:26"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80" t="str">
        <f>IF(S1693&lt;&gt;"","E","")</f>
        <v/>
      </c>
      <c r="H1693" s="1480" t="s">
        <v>2057</v>
      </c>
      <c r="I1693" s="1427"/>
      <c r="J1693" s="1480"/>
      <c r="K1693" s="1480"/>
      <c r="L1693" s="1480"/>
      <c r="M1693" s="1480"/>
      <c r="N1693" s="1480"/>
      <c r="O1693" s="1477"/>
      <c r="P1693" s="1477"/>
      <c r="Q1693" s="1477"/>
      <c r="R1693" s="1480" t="s">
        <v>396</v>
      </c>
      <c r="S1693" s="1480" t="str">
        <f>IF(Q$911="Yes",14,"")</f>
        <v/>
      </c>
      <c r="T1693" s="1477"/>
      <c r="U1693" s="1477"/>
      <c r="V1693" s="1477"/>
      <c r="W1693" s="1477"/>
      <c r="X1693" s="1477"/>
      <c r="Y1693" s="1477"/>
      <c r="Z1693" s="1477"/>
    </row>
    <row r="1694" spans="1:26"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80" t="str">
        <f>IF(S1694&lt;&gt;"","G","")</f>
        <v/>
      </c>
      <c r="H1694" s="1480" t="s">
        <v>2057</v>
      </c>
      <c r="I1694" s="1427"/>
      <c r="J1694" s="1480"/>
      <c r="K1694" s="1480"/>
      <c r="L1694" s="1480"/>
      <c r="M1694" s="1480"/>
      <c r="N1694" s="1480"/>
      <c r="O1694" s="1477"/>
      <c r="P1694" s="1477"/>
      <c r="Q1694" s="1477"/>
      <c r="R1694" s="1480" t="s">
        <v>396</v>
      </c>
      <c r="S1694" s="1480" t="str">
        <f>IF(Q$930="Yes",15,"")</f>
        <v/>
      </c>
      <c r="T1694" s="1477"/>
      <c r="U1694" s="1477"/>
      <c r="V1694" s="1477"/>
      <c r="W1694" s="1477"/>
      <c r="X1694" s="1477"/>
      <c r="Y1694" s="1477"/>
      <c r="Z1694" s="1477"/>
    </row>
    <row r="1695" spans="1:26"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80" t="str">
        <f>IF(S1695&lt;&gt;"","E","")</f>
        <v/>
      </c>
      <c r="H1695" s="1480" t="s">
        <v>2057</v>
      </c>
      <c r="I1695" s="1427"/>
      <c r="J1695" s="1480"/>
      <c r="K1695" s="1480"/>
      <c r="L1695" s="1480"/>
      <c r="M1695" s="1480"/>
      <c r="N1695" s="1480"/>
      <c r="O1695" s="1477"/>
      <c r="P1695" s="1477"/>
      <c r="Q1695" s="1477"/>
      <c r="R1695" s="1480" t="s">
        <v>396</v>
      </c>
      <c r="S1695" s="1480" t="str">
        <f>IF(Q$930="Yes",15,"")</f>
        <v/>
      </c>
      <c r="T1695" s="1477"/>
      <c r="U1695" s="1477"/>
      <c r="V1695" s="1477"/>
      <c r="W1695" s="1477"/>
      <c r="X1695" s="1477"/>
      <c r="Y1695" s="1477"/>
      <c r="Z1695" s="1477"/>
    </row>
    <row r="1696" spans="1:26"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80" t="str">
        <f>IF(S1696&lt;&gt;"","G","")</f>
        <v/>
      </c>
      <c r="H1696" s="1480" t="s">
        <v>2057</v>
      </c>
      <c r="I1696" s="1427"/>
      <c r="J1696" s="1480"/>
      <c r="K1696" s="1480"/>
      <c r="L1696" s="1480"/>
      <c r="M1696" s="1480"/>
      <c r="N1696" s="1480"/>
      <c r="O1696" s="1477"/>
      <c r="P1696" s="1477"/>
      <c r="Q1696" s="1477"/>
      <c r="R1696" s="1480" t="s">
        <v>396</v>
      </c>
      <c r="S1696" s="1480" t="str">
        <f>IF(Q$949="Yes",16,"")</f>
        <v/>
      </c>
      <c r="T1696" s="1477"/>
      <c r="U1696" s="1477"/>
      <c r="V1696" s="1477"/>
      <c r="W1696" s="1477"/>
      <c r="X1696" s="1477"/>
      <c r="Y1696" s="1477"/>
      <c r="Z1696" s="1477"/>
    </row>
    <row r="1697" spans="1:26"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80" t="str">
        <f>IF(S1697&lt;&gt;"","E","")</f>
        <v/>
      </c>
      <c r="H1697" s="1480" t="s">
        <v>2057</v>
      </c>
      <c r="I1697" s="1427"/>
      <c r="J1697" s="1480"/>
      <c r="K1697" s="1480"/>
      <c r="L1697" s="1480"/>
      <c r="M1697" s="1480"/>
      <c r="N1697" s="1480"/>
      <c r="O1697" s="1477"/>
      <c r="P1697" s="1477"/>
      <c r="Q1697" s="1477"/>
      <c r="R1697" s="1480" t="s">
        <v>396</v>
      </c>
      <c r="S1697" s="1480" t="str">
        <f>IF(Q$949="Yes",16,"")</f>
        <v/>
      </c>
      <c r="T1697" s="1477"/>
      <c r="U1697" s="1477"/>
      <c r="V1697" s="1477"/>
      <c r="W1697" s="1477"/>
      <c r="X1697" s="1477"/>
      <c r="Y1697" s="1477"/>
      <c r="Z1697" s="1477"/>
    </row>
    <row r="1698" spans="1:26"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80" t="str">
        <f>IF(S1698&lt;&gt;"","G","")</f>
        <v/>
      </c>
      <c r="H1698" s="1480" t="s">
        <v>2057</v>
      </c>
      <c r="I1698" s="1427"/>
      <c r="J1698" s="1480"/>
      <c r="K1698" s="1480"/>
      <c r="L1698" s="1480"/>
      <c r="M1698" s="1480"/>
      <c r="N1698" s="1480"/>
      <c r="O1698" s="1477"/>
      <c r="P1698" s="1477"/>
      <c r="Q1698" s="1477"/>
      <c r="R1698" s="1480" t="s">
        <v>396</v>
      </c>
      <c r="S1698" s="1480" t="str">
        <f>IF(Q$968="Yes",17,"")</f>
        <v/>
      </c>
      <c r="T1698" s="1477"/>
      <c r="U1698" s="1477"/>
      <c r="V1698" s="1477"/>
      <c r="W1698" s="1477"/>
      <c r="X1698" s="1477"/>
      <c r="Y1698" s="1477"/>
      <c r="Z1698" s="1477"/>
    </row>
    <row r="1699" spans="1:26"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80" t="str">
        <f>IF(S1699&lt;&gt;"","E","")</f>
        <v/>
      </c>
      <c r="H1699" s="1480" t="s">
        <v>2057</v>
      </c>
      <c r="I1699" s="1427"/>
      <c r="J1699" s="1480"/>
      <c r="K1699" s="1480"/>
      <c r="L1699" s="1480"/>
      <c r="M1699" s="1480"/>
      <c r="N1699" s="1480"/>
      <c r="O1699" s="1477"/>
      <c r="P1699" s="1477"/>
      <c r="Q1699" s="1477"/>
      <c r="R1699" s="1480" t="s">
        <v>396</v>
      </c>
      <c r="S1699" s="1480" t="str">
        <f>IF(Q$968="Yes",17,"")</f>
        <v/>
      </c>
      <c r="T1699" s="1477"/>
      <c r="U1699" s="1477"/>
      <c r="V1699" s="1477"/>
      <c r="W1699" s="1477"/>
      <c r="X1699" s="1477"/>
      <c r="Y1699" s="1477"/>
      <c r="Z1699" s="1477"/>
    </row>
    <row r="1700" spans="1:26"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80" t="str">
        <f>IF(S1700&lt;&gt;"","G","")</f>
        <v>G</v>
      </c>
      <c r="H1700" s="1480" t="s">
        <v>2057</v>
      </c>
      <c r="I1700" s="1427"/>
      <c r="J1700" s="1480"/>
      <c r="K1700" s="1480"/>
      <c r="L1700" s="1480"/>
      <c r="M1700" s="1480"/>
      <c r="N1700" s="1480"/>
      <c r="O1700" s="1477"/>
      <c r="P1700" s="1477"/>
      <c r="Q1700" s="1477"/>
      <c r="R1700" s="1480" t="s">
        <v>1715</v>
      </c>
      <c r="S1700" s="1480">
        <f>IF(Q$987="Yes",18,"")</f>
        <v>18</v>
      </c>
      <c r="T1700" s="1477"/>
      <c r="U1700" s="1477"/>
      <c r="V1700" s="1477"/>
      <c r="W1700" s="1477"/>
      <c r="X1700" s="1477"/>
      <c r="Y1700" s="1477"/>
      <c r="Z1700" s="1477"/>
    </row>
    <row r="1701" spans="1:26"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80" t="str">
        <f>IF(S1701&lt;&gt;"","E","")</f>
        <v>E</v>
      </c>
      <c r="H1701" s="1480" t="s">
        <v>2057</v>
      </c>
      <c r="I1701" s="1427"/>
      <c r="J1701" s="1480"/>
      <c r="K1701" s="1480"/>
      <c r="L1701" s="1480"/>
      <c r="M1701" s="1480"/>
      <c r="N1701" s="1480"/>
      <c r="O1701" s="1477"/>
      <c r="P1701" s="1477"/>
      <c r="Q1701" s="1477"/>
      <c r="R1701" s="1480" t="s">
        <v>1715</v>
      </c>
      <c r="S1701" s="1480">
        <f>IF(Q$987="Yes",18,"")</f>
        <v>18</v>
      </c>
      <c r="T1701" s="1477"/>
      <c r="U1701" s="1477"/>
      <c r="V1701" s="1477"/>
      <c r="W1701" s="1477"/>
      <c r="X1701" s="1477"/>
      <c r="Y1701" s="1477"/>
      <c r="Z1701" s="1477"/>
    </row>
    <row r="1702" spans="1:26"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80" t="str">
        <f>IF(S1702&lt;&gt;"","A","")</f>
        <v>A</v>
      </c>
      <c r="H1702" s="1480" t="s">
        <v>2057</v>
      </c>
      <c r="I1702" s="242"/>
      <c r="J1702" s="1477"/>
      <c r="K1702" s="1477"/>
      <c r="L1702" s="1477"/>
      <c r="M1702" s="1477"/>
      <c r="N1702" s="1477"/>
      <c r="O1702" s="1477"/>
      <c r="P1702" s="1477"/>
      <c r="Q1702" s="1477"/>
      <c r="R1702" s="1480" t="s">
        <v>857</v>
      </c>
      <c r="S1702" s="1480">
        <f>IF(Q$570="Yes",1,"")</f>
        <v>1</v>
      </c>
      <c r="T1702" s="1477"/>
      <c r="U1702" s="1477"/>
      <c r="V1702" s="1477"/>
      <c r="W1702" s="1477"/>
      <c r="X1702" s="1477"/>
      <c r="Y1702" s="1477"/>
      <c r="Z1702" s="1477"/>
    </row>
    <row r="1703" spans="1:26"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80" t="str">
        <f>IF(S1703&lt;&gt;"","B","")</f>
        <v>B</v>
      </c>
      <c r="H1703" s="1480" t="s">
        <v>2057</v>
      </c>
      <c r="I1703" s="242"/>
      <c r="J1703" s="1477"/>
      <c r="K1703" s="1477"/>
      <c r="L1703" s="1477"/>
      <c r="M1703" s="1477"/>
      <c r="N1703" s="1477"/>
      <c r="O1703" s="1477"/>
      <c r="P1703" s="1477"/>
      <c r="Q1703" s="1477"/>
      <c r="R1703" s="1480" t="s">
        <v>857</v>
      </c>
      <c r="S1703" s="1480">
        <f>IF(Q$570="Yes",1,"")</f>
        <v>1</v>
      </c>
      <c r="T1703" s="1477"/>
      <c r="U1703" s="1477"/>
      <c r="V1703" s="1477"/>
      <c r="W1703" s="1477"/>
      <c r="X1703" s="1477"/>
      <c r="Y1703" s="1477"/>
      <c r="Z1703" s="1477"/>
    </row>
    <row r="1704" spans="1:26"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80" t="str">
        <f>IF(S1704&lt;&gt;"","C","")</f>
        <v>C</v>
      </c>
      <c r="H1704" s="1480" t="s">
        <v>2057</v>
      </c>
      <c r="I1704" s="242"/>
      <c r="J1704" s="1477"/>
      <c r="K1704" s="1477"/>
      <c r="L1704" s="1477"/>
      <c r="M1704" s="1477"/>
      <c r="N1704" s="1477"/>
      <c r="O1704" s="1477"/>
      <c r="P1704" s="1477"/>
      <c r="Q1704" s="1477"/>
      <c r="R1704" s="1480" t="s">
        <v>857</v>
      </c>
      <c r="S1704" s="1480">
        <f>IF(Q$570="Yes",1,"")</f>
        <v>1</v>
      </c>
      <c r="T1704" s="1477"/>
      <c r="U1704" s="1477"/>
      <c r="V1704" s="1477"/>
      <c r="W1704" s="1477"/>
      <c r="X1704" s="1477"/>
      <c r="Y1704" s="1477"/>
      <c r="Z1704" s="1477"/>
    </row>
    <row r="1705" spans="1:26"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80" t="str">
        <f>IF(S1705&lt;&gt;"","D","")</f>
        <v>D</v>
      </c>
      <c r="H1705" s="1480" t="s">
        <v>2057</v>
      </c>
      <c r="I1705" s="242"/>
      <c r="J1705" s="1477"/>
      <c r="K1705" s="1477"/>
      <c r="L1705" s="1477"/>
      <c r="M1705" s="1477"/>
      <c r="N1705" s="1477"/>
      <c r="O1705" s="1477"/>
      <c r="P1705" s="1477"/>
      <c r="Q1705" s="1477"/>
      <c r="R1705" s="1480" t="s">
        <v>857</v>
      </c>
      <c r="S1705" s="1480">
        <f>IF(Q$570="Yes",1,"")</f>
        <v>1</v>
      </c>
      <c r="T1705" s="1477"/>
      <c r="U1705" s="1477"/>
      <c r="V1705" s="1477"/>
      <c r="W1705" s="1477"/>
      <c r="X1705" s="1477"/>
      <c r="Y1705" s="1477"/>
      <c r="Z1705" s="1477"/>
    </row>
    <row r="1706" spans="1:26"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80" t="str">
        <f>IF(S1706&lt;&gt;"","F","")</f>
        <v>F</v>
      </c>
      <c r="H1706" s="1480" t="s">
        <v>2057</v>
      </c>
      <c r="I1706" s="242"/>
      <c r="J1706" s="1477"/>
      <c r="K1706" s="1477"/>
      <c r="L1706" s="1477"/>
      <c r="M1706" s="1477"/>
      <c r="N1706" s="1477"/>
      <c r="O1706" s="1477"/>
      <c r="P1706" s="1477"/>
      <c r="Q1706" s="1477"/>
      <c r="R1706" s="1480" t="s">
        <v>857</v>
      </c>
      <c r="S1706" s="1480">
        <f>IF(Q$570="Yes",1,"")</f>
        <v>1</v>
      </c>
      <c r="T1706" s="1477"/>
      <c r="U1706" s="1477"/>
      <c r="V1706" s="1477"/>
      <c r="W1706" s="1477"/>
      <c r="X1706" s="1477"/>
      <c r="Y1706" s="1477"/>
      <c r="Z1706" s="1477"/>
    </row>
    <row r="1707" spans="1:26"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80" t="str">
        <f>IF(S1707&lt;&gt;"","A","")</f>
        <v/>
      </c>
      <c r="H1707" s="1480" t="s">
        <v>2057</v>
      </c>
      <c r="I1707" s="242"/>
      <c r="J1707" s="1477"/>
      <c r="K1707" s="1477"/>
      <c r="L1707" s="1477"/>
      <c r="M1707" s="1477"/>
      <c r="N1707" s="1477"/>
      <c r="O1707" s="1477"/>
      <c r="P1707" s="1477"/>
      <c r="Q1707" s="1477"/>
      <c r="R1707" s="1480" t="s">
        <v>857</v>
      </c>
      <c r="S1707" s="1480" t="str">
        <f>IF(Q$589="Yes",2,"")</f>
        <v/>
      </c>
      <c r="T1707" s="1477"/>
      <c r="U1707" s="1477"/>
      <c r="V1707" s="1477"/>
      <c r="W1707" s="1477"/>
      <c r="X1707" s="1477"/>
      <c r="Y1707" s="1477"/>
      <c r="Z1707" s="1477"/>
    </row>
    <row r="1708" spans="1:26"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80" t="str">
        <f>IF(S1708&lt;&gt;"","B","")</f>
        <v/>
      </c>
      <c r="H1708" s="1480" t="s">
        <v>2057</v>
      </c>
      <c r="I1708" s="242"/>
      <c r="J1708" s="1477"/>
      <c r="K1708" s="1477"/>
      <c r="L1708" s="1477"/>
      <c r="M1708" s="1477"/>
      <c r="N1708" s="1477"/>
      <c r="O1708" s="1477"/>
      <c r="P1708" s="1477"/>
      <c r="Q1708" s="1477"/>
      <c r="R1708" s="1480" t="s">
        <v>857</v>
      </c>
      <c r="S1708" s="1480" t="str">
        <f>IF(Q$589="Yes",2,"")</f>
        <v/>
      </c>
      <c r="T1708" s="1477"/>
      <c r="U1708" s="1477"/>
      <c r="V1708" s="1477"/>
      <c r="W1708" s="1477"/>
      <c r="X1708" s="1477"/>
      <c r="Y1708" s="1477"/>
      <c r="Z1708" s="1477"/>
    </row>
    <row r="1709" spans="1:26"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80" t="str">
        <f>IF(S1709&lt;&gt;"","C","")</f>
        <v/>
      </c>
      <c r="H1709" s="1480" t="s">
        <v>2057</v>
      </c>
      <c r="I1709" s="242"/>
      <c r="J1709" s="1477"/>
      <c r="K1709" s="1477"/>
      <c r="L1709" s="1477"/>
      <c r="M1709" s="1477"/>
      <c r="N1709" s="1477"/>
      <c r="O1709" s="1477"/>
      <c r="P1709" s="1477"/>
      <c r="Q1709" s="1477"/>
      <c r="R1709" s="1480" t="s">
        <v>857</v>
      </c>
      <c r="S1709" s="1480" t="str">
        <f>IF(Q$589="Yes",2,"")</f>
        <v/>
      </c>
      <c r="T1709" s="1477"/>
      <c r="U1709" s="1477"/>
      <c r="V1709" s="1477"/>
      <c r="W1709" s="1477"/>
      <c r="X1709" s="1477"/>
      <c r="Y1709" s="1477"/>
      <c r="Z1709" s="1477"/>
    </row>
    <row r="1710" spans="1:26"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80" t="str">
        <f>IF(S1710&lt;&gt;"","D","")</f>
        <v/>
      </c>
      <c r="H1710" s="1480" t="s">
        <v>2057</v>
      </c>
      <c r="I1710" s="242"/>
      <c r="J1710" s="1477"/>
      <c r="K1710" s="1477"/>
      <c r="L1710" s="1477"/>
      <c r="M1710" s="1477"/>
      <c r="N1710" s="1477"/>
      <c r="O1710" s="1477"/>
      <c r="P1710" s="1477"/>
      <c r="Q1710" s="1477"/>
      <c r="R1710" s="1480" t="s">
        <v>857</v>
      </c>
      <c r="S1710" s="1480" t="str">
        <f>IF(Q$589="Yes",2,"")</f>
        <v/>
      </c>
      <c r="T1710" s="1477"/>
      <c r="U1710" s="1477"/>
      <c r="V1710" s="1477"/>
      <c r="W1710" s="1477"/>
      <c r="X1710" s="1477"/>
      <c r="Y1710" s="1477"/>
      <c r="Z1710" s="1477"/>
    </row>
    <row r="1711" spans="1:26"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80" t="str">
        <f>IF(S1711&lt;&gt;"","F","")</f>
        <v/>
      </c>
      <c r="H1711" s="1480" t="s">
        <v>2057</v>
      </c>
      <c r="I1711" s="242"/>
      <c r="J1711" s="1477"/>
      <c r="K1711" s="1477"/>
      <c r="L1711" s="1477"/>
      <c r="M1711" s="1477"/>
      <c r="N1711" s="1477"/>
      <c r="O1711" s="1477"/>
      <c r="P1711" s="1477"/>
      <c r="Q1711" s="1477"/>
      <c r="R1711" s="1480" t="s">
        <v>857</v>
      </c>
      <c r="S1711" s="1480" t="str">
        <f>IF(Q$589="Yes",2,"")</f>
        <v/>
      </c>
      <c r="T1711" s="1477"/>
      <c r="U1711" s="1477"/>
      <c r="V1711" s="1477"/>
      <c r="W1711" s="1477"/>
      <c r="X1711" s="1477"/>
      <c r="Y1711" s="1477"/>
      <c r="Z1711" s="1477"/>
    </row>
    <row r="1712" spans="1:26"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80" t="str">
        <f>IF(S1712&lt;&gt;"","A","")</f>
        <v/>
      </c>
      <c r="H1712" s="1480" t="s">
        <v>2057</v>
      </c>
      <c r="I1712" s="242"/>
      <c r="J1712" s="1477"/>
      <c r="K1712" s="1477"/>
      <c r="L1712" s="1477"/>
      <c r="M1712" s="1477"/>
      <c r="N1712" s="1477"/>
      <c r="O1712" s="1477"/>
      <c r="P1712" s="1477"/>
      <c r="Q1712" s="1477"/>
      <c r="R1712" s="1480" t="s">
        <v>857</v>
      </c>
      <c r="S1712" s="1480" t="str">
        <f>IF(Q$608="Yes",3,"")</f>
        <v/>
      </c>
      <c r="T1712" s="1477"/>
      <c r="U1712" s="1477"/>
      <c r="V1712" s="1477"/>
      <c r="W1712" s="1477"/>
      <c r="X1712" s="1477"/>
      <c r="Y1712" s="1477"/>
      <c r="Z1712" s="1477"/>
    </row>
    <row r="1713" spans="1:26"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80" t="str">
        <f>IF(S1713&lt;&gt;"","B","")</f>
        <v/>
      </c>
      <c r="H1713" s="1480" t="s">
        <v>2057</v>
      </c>
      <c r="I1713" s="242"/>
      <c r="J1713" s="1477"/>
      <c r="K1713" s="1477"/>
      <c r="L1713" s="1477"/>
      <c r="M1713" s="1477"/>
      <c r="N1713" s="1477"/>
      <c r="O1713" s="1477"/>
      <c r="P1713" s="1477"/>
      <c r="Q1713" s="1477"/>
      <c r="R1713" s="1480" t="s">
        <v>857</v>
      </c>
      <c r="S1713" s="1480" t="str">
        <f>IF(Q$608="Yes",3,"")</f>
        <v/>
      </c>
      <c r="T1713" s="1477"/>
      <c r="U1713" s="1477"/>
      <c r="V1713" s="1477"/>
      <c r="W1713" s="1477"/>
      <c r="X1713" s="1477"/>
      <c r="Y1713" s="1477"/>
      <c r="Z1713" s="1477"/>
    </row>
    <row r="1714" spans="1:26"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80" t="str">
        <f>IF(S1714&lt;&gt;"","C","")</f>
        <v/>
      </c>
      <c r="H1714" s="1480" t="s">
        <v>2057</v>
      </c>
      <c r="I1714" s="242"/>
      <c r="J1714" s="1477"/>
      <c r="K1714" s="1477"/>
      <c r="L1714" s="1477"/>
      <c r="M1714" s="1477"/>
      <c r="N1714" s="1477"/>
      <c r="O1714" s="1477"/>
      <c r="P1714" s="1477"/>
      <c r="Q1714" s="1477"/>
      <c r="R1714" s="1480" t="s">
        <v>857</v>
      </c>
      <c r="S1714" s="1480" t="str">
        <f>IF(Q$608="Yes",3,"")</f>
        <v/>
      </c>
      <c r="T1714" s="1477"/>
      <c r="U1714" s="1477"/>
      <c r="V1714" s="1477"/>
      <c r="W1714" s="1477"/>
      <c r="X1714" s="1477"/>
      <c r="Y1714" s="1477"/>
      <c r="Z1714" s="1477"/>
    </row>
    <row r="1715" spans="1:26" x14ac:dyDescent="0.25">
      <c r="A1715" s="929" t="s">
        <v>1404</v>
      </c>
      <c r="B1715" s="906" t="str">
        <f ca="1">_xlfn.IFNA(_xlfn.CONCAT(SUBSTITUTE(ADDRESS(1,MATCH(A1715,INDIRECT("'"&amp;E1715&amp;"'"&amp;"!A" &amp; $O$608+5 &amp; ":Z" &amp; $O$608+5),0),4),1,""),$O$608+6),"")</f>
        <v>J65</v>
      </c>
      <c r="C1715" s="906" t="str">
        <f t="shared" ref="C1715:C1716" ca="1" si="252">_xlfn.IFNA(SUBSTITUTE(ADDRESS(1,MATCH(A1715,INDIRECT("'"&amp;E1715&amp;"'"&amp;"!A" &amp; O$608+5 &amp; ":Z" &amp; O$608+5),0),4),1,""),"")</f>
        <v>J</v>
      </c>
      <c r="D1715" s="906" t="s">
        <v>1372</v>
      </c>
      <c r="E1715" s="906" t="s">
        <v>1535</v>
      </c>
      <c r="F1715" s="923" t="s">
        <v>1404</v>
      </c>
      <c r="G1715" s="1480" t="str">
        <f>IF(S1715&lt;&gt;"","D","")</f>
        <v/>
      </c>
      <c r="H1715" s="1480" t="s">
        <v>2057</v>
      </c>
      <c r="I1715" s="242"/>
      <c r="J1715" s="1477"/>
      <c r="K1715" s="1477"/>
      <c r="L1715" s="1477"/>
      <c r="M1715" s="1477"/>
      <c r="N1715" s="1477"/>
      <c r="O1715" s="1477"/>
      <c r="P1715" s="1477"/>
      <c r="Q1715" s="1477"/>
      <c r="R1715" s="1480" t="s">
        <v>857</v>
      </c>
      <c r="S1715" s="1480" t="str">
        <f>IF(Q$608="Yes",3,"")</f>
        <v/>
      </c>
      <c r="T1715" s="1477"/>
      <c r="U1715" s="1477"/>
      <c r="V1715" s="1477"/>
      <c r="W1715" s="1477"/>
      <c r="X1715" s="1477"/>
      <c r="Y1715" s="1477"/>
      <c r="Z1715" s="1477"/>
    </row>
    <row r="1716" spans="1:26" x14ac:dyDescent="0.25">
      <c r="A1716" s="929" t="s">
        <v>1405</v>
      </c>
      <c r="B1716" s="906" t="str">
        <f ca="1">_xlfn.IFNA(_xlfn.CONCAT(SUBSTITUTE(ADDRESS(1,MATCH(A1716,INDIRECT("'"&amp;E1716&amp;"'"&amp;"!A" &amp; $O$608+5 &amp; ":Z" &amp; $O$608+5),0),4),1,""),$O$608+6),"")</f>
        <v>L65</v>
      </c>
      <c r="C1716" s="906" t="str">
        <f t="shared" ca="1" si="252"/>
        <v>L</v>
      </c>
      <c r="D1716" s="906" t="s">
        <v>1372</v>
      </c>
      <c r="E1716" s="906" t="s">
        <v>1535</v>
      </c>
      <c r="F1716" s="1192" t="s">
        <v>2060</v>
      </c>
      <c r="G1716" s="1480" t="str">
        <f>IF(S1716&lt;&gt;"","F","")</f>
        <v/>
      </c>
      <c r="H1716" s="1480" t="s">
        <v>2057</v>
      </c>
      <c r="I1716" s="242"/>
      <c r="J1716" s="1477"/>
      <c r="K1716" s="1477"/>
      <c r="L1716" s="1477"/>
      <c r="M1716" s="1477"/>
      <c r="N1716" s="1477"/>
      <c r="O1716" s="1477"/>
      <c r="P1716" s="1477"/>
      <c r="Q1716" s="1477"/>
      <c r="R1716" s="1480" t="s">
        <v>857</v>
      </c>
      <c r="S1716" s="1480" t="str">
        <f>IF(Q$608="Yes",3,"")</f>
        <v/>
      </c>
      <c r="T1716" s="1477"/>
      <c r="U1716" s="1477"/>
      <c r="V1716" s="1477"/>
      <c r="W1716" s="1477"/>
      <c r="X1716" s="1477"/>
      <c r="Y1716" s="1477"/>
      <c r="Z1716" s="1477"/>
    </row>
    <row r="1717" spans="1:26"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80" t="str">
        <f>IF(S1717&lt;&gt;"","A","")</f>
        <v/>
      </c>
      <c r="H1717" s="1480" t="s">
        <v>2057</v>
      </c>
      <c r="I1717" s="242"/>
      <c r="J1717" s="1477"/>
      <c r="K1717" s="1477"/>
      <c r="L1717" s="1477"/>
      <c r="M1717" s="1477"/>
      <c r="N1717" s="1477"/>
      <c r="O1717" s="1477"/>
      <c r="P1717" s="1477"/>
      <c r="Q1717" s="1477"/>
      <c r="R1717" s="623" t="s">
        <v>857</v>
      </c>
      <c r="S1717" s="1480" t="str">
        <f>IF(Q$639="Yes",4,"")</f>
        <v/>
      </c>
      <c r="T1717" s="1477"/>
      <c r="U1717" s="1477"/>
      <c r="V1717" s="1477"/>
      <c r="W1717" s="1477"/>
      <c r="X1717" s="1477"/>
      <c r="Y1717" s="1477"/>
      <c r="Z1717" s="1477"/>
    </row>
    <row r="1718" spans="1:26"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80" t="str">
        <f>IF(S1718&lt;&gt;"","B","")</f>
        <v/>
      </c>
      <c r="H1718" s="1480" t="s">
        <v>2057</v>
      </c>
      <c r="I1718" s="242"/>
      <c r="J1718" s="1477"/>
      <c r="K1718" s="1477"/>
      <c r="L1718" s="1477"/>
      <c r="M1718" s="1477"/>
      <c r="N1718" s="1477"/>
      <c r="O1718" s="1477"/>
      <c r="P1718" s="1477"/>
      <c r="Q1718" s="1477"/>
      <c r="R1718" s="623" t="s">
        <v>857</v>
      </c>
      <c r="S1718" s="1480" t="str">
        <f>IF(Q$639="Yes",4,"")</f>
        <v/>
      </c>
      <c r="T1718" s="1477"/>
      <c r="U1718" s="1477"/>
      <c r="V1718" s="1477"/>
      <c r="W1718" s="1477"/>
      <c r="X1718" s="1477"/>
      <c r="Y1718" s="1477"/>
      <c r="Z1718" s="1477"/>
    </row>
    <row r="1719" spans="1:26" x14ac:dyDescent="0.25">
      <c r="A1719" s="932" t="s">
        <v>1403</v>
      </c>
      <c r="B1719" s="906" t="str">
        <f ca="1">_xlfn.IFNA(_xlfn.CONCAT(SUBSTITUTE(ADDRESS(1,MATCH(A1719,INDIRECT("'"&amp;E1719&amp;"'"&amp;"!A" &amp; $O$639 + 5 &amp; ":Z" &amp; $O$639 + 5),0),4),1,""), $O$639 + 6),"")</f>
        <v>H81</v>
      </c>
      <c r="C1719" s="906" t="str">
        <f t="shared" ref="C1719:C1721" ca="1" si="253">_xlfn.IFNA(SUBSTITUTE(ADDRESS(1,MATCH(A1719,INDIRECT("'"&amp;E1719&amp;"'"&amp;"!A" &amp; $O$639 + 5 &amp; ":Z" &amp; $O$639 + 5),0),4),1,""),"")</f>
        <v>H</v>
      </c>
      <c r="D1719" s="906" t="s">
        <v>1372</v>
      </c>
      <c r="E1719" s="906" t="s">
        <v>1535</v>
      </c>
      <c r="F1719" s="923" t="s">
        <v>1403</v>
      </c>
      <c r="G1719" s="1480" t="str">
        <f>IF(S1719&lt;&gt;"","C","")</f>
        <v/>
      </c>
      <c r="H1719" s="1480" t="s">
        <v>2057</v>
      </c>
      <c r="I1719" s="242"/>
      <c r="J1719" s="1477"/>
      <c r="K1719" s="1477"/>
      <c r="L1719" s="1477"/>
      <c r="M1719" s="1477"/>
      <c r="N1719" s="1477"/>
      <c r="O1719" s="1477"/>
      <c r="P1719" s="1477"/>
      <c r="Q1719" s="1477"/>
      <c r="R1719" s="623" t="s">
        <v>857</v>
      </c>
      <c r="S1719" s="1480" t="str">
        <f>IF(Q$639="Yes",4,"")</f>
        <v/>
      </c>
      <c r="T1719" s="1477"/>
      <c r="U1719" s="1477"/>
      <c r="V1719" s="1477"/>
      <c r="W1719" s="1477"/>
      <c r="X1719" s="1477"/>
      <c r="Y1719" s="1477"/>
      <c r="Z1719" s="1477"/>
    </row>
    <row r="1720" spans="1:26" x14ac:dyDescent="0.25">
      <c r="A1720" s="932" t="s">
        <v>1404</v>
      </c>
      <c r="B1720" s="906" t="str">
        <f ca="1">_xlfn.IFNA(_xlfn.CONCAT(SUBSTITUTE(ADDRESS(1,MATCH(A1720,INDIRECT("'"&amp;E1720&amp;"'"&amp;"!A" &amp; $O$639 + 5 &amp; ":Z" &amp; $O$639 + 5),0),4),1,""), $O$639 + 6),"")</f>
        <v>J81</v>
      </c>
      <c r="C1720" s="906" t="str">
        <f t="shared" ca="1" si="253"/>
        <v>J</v>
      </c>
      <c r="D1720" s="906" t="s">
        <v>1372</v>
      </c>
      <c r="E1720" s="906" t="s">
        <v>1535</v>
      </c>
      <c r="F1720" s="923" t="s">
        <v>1404</v>
      </c>
      <c r="G1720" s="1480" t="str">
        <f>IF(S1720&lt;&gt;"","D","")</f>
        <v/>
      </c>
      <c r="H1720" s="1480" t="s">
        <v>2057</v>
      </c>
      <c r="I1720" s="242"/>
      <c r="J1720" s="1477"/>
      <c r="K1720" s="1477"/>
      <c r="L1720" s="1477"/>
      <c r="M1720" s="1477"/>
      <c r="N1720" s="1477"/>
      <c r="O1720" s="1477"/>
      <c r="P1720" s="1477"/>
      <c r="Q1720" s="1477"/>
      <c r="R1720" s="623" t="s">
        <v>857</v>
      </c>
      <c r="S1720" s="1480" t="str">
        <f>IF(Q$639="Yes",4,"")</f>
        <v/>
      </c>
      <c r="T1720" s="1477"/>
      <c r="U1720" s="1477"/>
      <c r="V1720" s="1477"/>
      <c r="W1720" s="1477"/>
      <c r="X1720" s="1477"/>
      <c r="Y1720" s="1477"/>
      <c r="Z1720" s="1477"/>
    </row>
    <row r="1721" spans="1:26" x14ac:dyDescent="0.25">
      <c r="A1721" s="932" t="s">
        <v>1405</v>
      </c>
      <c r="B1721" s="906" t="str">
        <f ca="1">_xlfn.IFNA(_xlfn.CONCAT(SUBSTITUTE(ADDRESS(1,MATCH(A1721,INDIRECT("'"&amp;E1721&amp;"'"&amp;"!A" &amp; $O$639 + 5 &amp; ":Z" &amp; $O$639 + 5),0),4),1,""),$O$639 + 6),"")</f>
        <v>L81</v>
      </c>
      <c r="C1721" s="906" t="str">
        <f t="shared" ca="1" si="253"/>
        <v>L</v>
      </c>
      <c r="D1721" s="906" t="s">
        <v>1372</v>
      </c>
      <c r="E1721" s="906" t="s">
        <v>1535</v>
      </c>
      <c r="F1721" s="1192" t="s">
        <v>2060</v>
      </c>
      <c r="G1721" s="1480" t="str">
        <f>IF(S1721&lt;&gt;"","F","")</f>
        <v/>
      </c>
      <c r="H1721" s="1480" t="s">
        <v>2057</v>
      </c>
      <c r="I1721" s="242"/>
      <c r="J1721" s="1477"/>
      <c r="K1721" s="1477"/>
      <c r="L1721" s="1477"/>
      <c r="M1721" s="1477"/>
      <c r="N1721" s="1477"/>
      <c r="O1721" s="1477"/>
      <c r="P1721" s="1477"/>
      <c r="Q1721" s="1477"/>
      <c r="R1721" s="623" t="s">
        <v>857</v>
      </c>
      <c r="S1721" s="1480" t="str">
        <f>IF(Q$639="Yes",4,"")</f>
        <v/>
      </c>
      <c r="T1721" s="1477"/>
      <c r="U1721" s="1477"/>
      <c r="V1721" s="1477"/>
      <c r="W1721" s="1477"/>
      <c r="X1721" s="1477"/>
      <c r="Y1721" s="1477"/>
      <c r="Z1721" s="1477"/>
    </row>
    <row r="1722" spans="1:26"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80" t="str">
        <f>IF(S1722&lt;&gt;"","A","")</f>
        <v>A</v>
      </c>
      <c r="H1722" s="1480" t="s">
        <v>2057</v>
      </c>
      <c r="I1722" s="242"/>
      <c r="J1722" s="1477"/>
      <c r="K1722" s="1477"/>
      <c r="L1722" s="1477"/>
      <c r="M1722" s="1477"/>
      <c r="N1722" s="1477"/>
      <c r="O1722" s="1477"/>
      <c r="P1722" s="1477"/>
      <c r="Q1722" s="1477"/>
      <c r="R1722" s="1480" t="s">
        <v>1544</v>
      </c>
      <c r="S1722" s="1480">
        <f>IF(Q$670="Yes",5,"")</f>
        <v>5</v>
      </c>
      <c r="T1722" s="1477"/>
      <c r="U1722" s="1477"/>
      <c r="V1722" s="1477"/>
      <c r="W1722" s="1477"/>
      <c r="X1722" s="1477"/>
      <c r="Y1722" s="1477"/>
      <c r="Z1722" s="1477"/>
    </row>
    <row r="1723" spans="1:26"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80" t="str">
        <f>IF(S1723&lt;&gt;"","B","")</f>
        <v>B</v>
      </c>
      <c r="H1723" s="1480" t="s">
        <v>2057</v>
      </c>
      <c r="I1723" s="242"/>
      <c r="J1723" s="1477"/>
      <c r="K1723" s="1477"/>
      <c r="L1723" s="1477"/>
      <c r="M1723" s="1477"/>
      <c r="N1723" s="1477"/>
      <c r="O1723" s="1477"/>
      <c r="P1723" s="1477"/>
      <c r="Q1723" s="1477"/>
      <c r="R1723" s="1480" t="s">
        <v>1544</v>
      </c>
      <c r="S1723" s="1480">
        <f>IF(Q$670="Yes",5,"")</f>
        <v>5</v>
      </c>
      <c r="T1723" s="1477"/>
      <c r="U1723" s="1477"/>
      <c r="V1723" s="1477"/>
      <c r="W1723" s="1477"/>
      <c r="X1723" s="1477"/>
      <c r="Y1723" s="1477"/>
      <c r="Z1723" s="1477"/>
    </row>
    <row r="1724" spans="1:26"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80" t="str">
        <f>IF(S1724&lt;&gt;"","C","")</f>
        <v>C</v>
      </c>
      <c r="H1724" s="1480" t="s">
        <v>2057</v>
      </c>
      <c r="I1724" s="242"/>
      <c r="J1724" s="1477"/>
      <c r="K1724" s="1477"/>
      <c r="L1724" s="1477"/>
      <c r="M1724" s="1477"/>
      <c r="N1724" s="1477"/>
      <c r="O1724" s="1477"/>
      <c r="P1724" s="1477"/>
      <c r="Q1724" s="1477"/>
      <c r="R1724" s="1480" t="s">
        <v>1544</v>
      </c>
      <c r="S1724" s="1480">
        <f>IF(Q$670="Yes",5,"")</f>
        <v>5</v>
      </c>
      <c r="T1724" s="1477"/>
      <c r="U1724" s="1477"/>
      <c r="V1724" s="1477"/>
      <c r="W1724" s="1477"/>
      <c r="X1724" s="1477"/>
      <c r="Y1724" s="1477"/>
      <c r="Z1724" s="1477"/>
    </row>
    <row r="1725" spans="1:26"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80" t="str">
        <f>IF(S1725&lt;&gt;"","D","")</f>
        <v>D</v>
      </c>
      <c r="H1725" s="1480" t="s">
        <v>2057</v>
      </c>
      <c r="I1725" s="242"/>
      <c r="J1725" s="1477"/>
      <c r="K1725" s="1477"/>
      <c r="L1725" s="1477"/>
      <c r="M1725" s="1477"/>
      <c r="N1725" s="1477"/>
      <c r="O1725" s="1477"/>
      <c r="P1725" s="1477"/>
      <c r="Q1725" s="1477"/>
      <c r="R1725" s="1480" t="s">
        <v>1544</v>
      </c>
      <c r="S1725" s="1480">
        <f>IF(Q$670="Yes",5,"")</f>
        <v>5</v>
      </c>
      <c r="T1725" s="1477"/>
      <c r="U1725" s="1477"/>
      <c r="V1725" s="1477"/>
      <c r="W1725" s="1477"/>
      <c r="X1725" s="1477"/>
      <c r="Y1725" s="1477"/>
      <c r="Z1725" s="1477"/>
    </row>
    <row r="1726" spans="1:26"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80" t="str">
        <f>IF(S1726&lt;&gt;"","F","")</f>
        <v>F</v>
      </c>
      <c r="H1726" s="1480" t="s">
        <v>2057</v>
      </c>
      <c r="I1726" s="242"/>
      <c r="J1726" s="1477"/>
      <c r="K1726" s="1477"/>
      <c r="L1726" s="1477"/>
      <c r="M1726" s="1477"/>
      <c r="N1726" s="1477"/>
      <c r="O1726" s="1477"/>
      <c r="P1726" s="1477"/>
      <c r="Q1726" s="1477"/>
      <c r="R1726" s="1480" t="s">
        <v>1544</v>
      </c>
      <c r="S1726" s="1480">
        <f>IF(Q$670="Yes",5,"")</f>
        <v>5</v>
      </c>
      <c r="T1726" s="1477"/>
      <c r="U1726" s="1477"/>
      <c r="V1726" s="1477"/>
      <c r="W1726" s="1477"/>
      <c r="X1726" s="1477"/>
      <c r="Y1726" s="1477"/>
      <c r="Z1726" s="1477"/>
    </row>
    <row r="1727" spans="1:26"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80" t="str">
        <f>IF(S1727&lt;&gt;"","A","")</f>
        <v/>
      </c>
      <c r="H1727" s="1480" t="s">
        <v>2057</v>
      </c>
      <c r="I1727" s="242"/>
      <c r="J1727" s="1477"/>
      <c r="K1727" s="1477"/>
      <c r="L1727" s="1477"/>
      <c r="M1727" s="1477"/>
      <c r="N1727" s="1477"/>
      <c r="O1727" s="1477"/>
      <c r="P1727" s="1477"/>
      <c r="Q1727" s="1477"/>
      <c r="R1727" s="1480" t="s">
        <v>1544</v>
      </c>
      <c r="S1727" s="1480" t="str">
        <f>IF(Q$688="Yes",6,"")</f>
        <v/>
      </c>
      <c r="T1727" s="1477"/>
      <c r="U1727" s="1477"/>
      <c r="V1727" s="1477"/>
      <c r="W1727" s="1477"/>
      <c r="X1727" s="1477"/>
      <c r="Y1727" s="1477"/>
      <c r="Z1727" s="1477"/>
    </row>
    <row r="1728" spans="1:26"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80" t="str">
        <f>IF(S1728&lt;&gt;"","B","")</f>
        <v/>
      </c>
      <c r="H1728" s="1480" t="s">
        <v>2057</v>
      </c>
      <c r="I1728" s="242"/>
      <c r="J1728" s="1477"/>
      <c r="K1728" s="1477"/>
      <c r="L1728" s="1477"/>
      <c r="M1728" s="1477"/>
      <c r="N1728" s="1477"/>
      <c r="O1728" s="1477"/>
      <c r="P1728" s="1477"/>
      <c r="Q1728" s="1477"/>
      <c r="R1728" s="1480" t="s">
        <v>1544</v>
      </c>
      <c r="S1728" s="1480" t="str">
        <f>IF(Q$688="Yes",6,"")</f>
        <v/>
      </c>
      <c r="T1728" s="1477"/>
      <c r="U1728" s="1477"/>
      <c r="V1728" s="1477"/>
      <c r="W1728" s="1477"/>
      <c r="X1728" s="1477"/>
      <c r="Y1728" s="1477"/>
      <c r="Z1728" s="1477"/>
    </row>
    <row r="1729" spans="1:26"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80" t="str">
        <f>IF(S1729&lt;&gt;"","C","")</f>
        <v/>
      </c>
      <c r="H1729" s="1480" t="s">
        <v>2057</v>
      </c>
      <c r="I1729" s="242"/>
      <c r="J1729" s="1477"/>
      <c r="K1729" s="1477"/>
      <c r="L1729" s="1477"/>
      <c r="M1729" s="1477"/>
      <c r="N1729" s="1477"/>
      <c r="O1729" s="1477"/>
      <c r="P1729" s="1477"/>
      <c r="Q1729" s="1477"/>
      <c r="R1729" s="1480" t="s">
        <v>1544</v>
      </c>
      <c r="S1729" s="1480" t="str">
        <f>IF(Q$688="Yes",6,"")</f>
        <v/>
      </c>
      <c r="T1729" s="1477"/>
      <c r="U1729" s="1477"/>
      <c r="V1729" s="1477"/>
      <c r="W1729" s="1477"/>
      <c r="X1729" s="1477"/>
      <c r="Y1729" s="1477"/>
      <c r="Z1729" s="1477"/>
    </row>
    <row r="1730" spans="1:26"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80" t="str">
        <f>IF(S1730&lt;&gt;"","D","")</f>
        <v/>
      </c>
      <c r="H1730" s="1480" t="s">
        <v>2057</v>
      </c>
      <c r="I1730" s="242"/>
      <c r="J1730" s="1477"/>
      <c r="K1730" s="1477"/>
      <c r="L1730" s="1477"/>
      <c r="M1730" s="1477"/>
      <c r="N1730" s="1477"/>
      <c r="O1730" s="1477"/>
      <c r="P1730" s="1477"/>
      <c r="Q1730" s="1477"/>
      <c r="R1730" s="1480" t="s">
        <v>1544</v>
      </c>
      <c r="S1730" s="1480" t="str">
        <f>IF(Q$688="Yes",6,"")</f>
        <v/>
      </c>
      <c r="T1730" s="1477"/>
      <c r="U1730" s="1477"/>
      <c r="V1730" s="1477"/>
      <c r="W1730" s="1477"/>
      <c r="X1730" s="1477"/>
      <c r="Y1730" s="1477"/>
      <c r="Z1730" s="1477"/>
    </row>
    <row r="1731" spans="1:26"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80" t="str">
        <f>IF(S1731&lt;&gt;"","F","")</f>
        <v/>
      </c>
      <c r="H1731" s="1480" t="s">
        <v>2057</v>
      </c>
      <c r="I1731" s="242"/>
      <c r="J1731" s="1477"/>
      <c r="K1731" s="1477"/>
      <c r="L1731" s="1477"/>
      <c r="M1731" s="1477"/>
      <c r="N1731" s="1477"/>
      <c r="O1731" s="1477"/>
      <c r="P1731" s="1477"/>
      <c r="Q1731" s="1477"/>
      <c r="R1731" s="1480" t="s">
        <v>1544</v>
      </c>
      <c r="S1731" s="1480" t="str">
        <f>IF(Q$688="Yes",6,"")</f>
        <v/>
      </c>
      <c r="T1731" s="1477"/>
      <c r="U1731" s="1477"/>
      <c r="V1731" s="1477"/>
      <c r="W1731" s="1477"/>
      <c r="X1731" s="1477"/>
      <c r="Y1731" s="1477"/>
      <c r="Z1731" s="1477"/>
    </row>
    <row r="1732" spans="1:26"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80" t="str">
        <f>IF(S1732&lt;&gt;"","A","")</f>
        <v/>
      </c>
      <c r="H1732" s="1480" t="s">
        <v>2057</v>
      </c>
      <c r="I1732" s="242"/>
      <c r="J1732" s="1477"/>
      <c r="K1732" s="1477"/>
      <c r="L1732" s="1477"/>
      <c r="M1732" s="1477"/>
      <c r="N1732" s="1477"/>
      <c r="O1732" s="1477"/>
      <c r="P1732" s="1477"/>
      <c r="Q1732" s="1477"/>
      <c r="R1732" s="1480" t="s">
        <v>1544</v>
      </c>
      <c r="S1732" s="1480" t="str">
        <f>IF(Q$706="Yes",7,"")</f>
        <v/>
      </c>
      <c r="T1732" s="1477"/>
      <c r="U1732" s="1477"/>
      <c r="V1732" s="1477"/>
      <c r="W1732" s="1477"/>
      <c r="X1732" s="1477"/>
      <c r="Y1732" s="1477"/>
      <c r="Z1732" s="1477"/>
    </row>
    <row r="1733" spans="1:26"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80" t="str">
        <f>IF(S1733&lt;&gt;"","B","")</f>
        <v/>
      </c>
      <c r="H1733" s="1480" t="s">
        <v>2057</v>
      </c>
      <c r="I1733" s="242"/>
      <c r="J1733" s="1477"/>
      <c r="K1733" s="1477"/>
      <c r="L1733" s="1477"/>
      <c r="M1733" s="1477"/>
      <c r="N1733" s="1477"/>
      <c r="O1733" s="1477"/>
      <c r="P1733" s="1477"/>
      <c r="Q1733" s="1477"/>
      <c r="R1733" s="1480" t="s">
        <v>1544</v>
      </c>
      <c r="S1733" s="1480" t="str">
        <f>IF(Q$706="Yes",7,"")</f>
        <v/>
      </c>
      <c r="T1733" s="1477"/>
      <c r="U1733" s="1477"/>
      <c r="V1733" s="1477"/>
      <c r="W1733" s="1477"/>
      <c r="X1733" s="1477"/>
      <c r="Y1733" s="1477"/>
      <c r="Z1733" s="1477"/>
    </row>
    <row r="1734" spans="1:26" x14ac:dyDescent="0.25">
      <c r="A1734" s="929" t="s">
        <v>1403</v>
      </c>
      <c r="B1734" s="906" t="str">
        <f ca="1">_xlfn.IFNA(_xlfn.CONCAT(SUBSTITUTE(ADDRESS(1,MATCH(A1734,INDIRECT("'"&amp;E1734&amp;"'"&amp;"!A" &amp; $O$706 + 5 &amp; ":Z" &amp; $O$706+ 5),0),4),1,""),$O$706 + 6),"")</f>
        <v>H125</v>
      </c>
      <c r="C1734" s="906" t="str">
        <f t="shared" ref="C1734:C1736" ca="1" si="254">_xlfn.IFNA(SUBSTITUTE(ADDRESS(1,MATCH(A1734,INDIRECT("'"&amp;E1734&amp;"'"&amp;"!A" &amp; $O$706 + 5 &amp; ":Z" &amp; $O$706+ 5),0),4),1,""),"")</f>
        <v>H</v>
      </c>
      <c r="D1734" s="906" t="s">
        <v>1372</v>
      </c>
      <c r="E1734" s="906" t="s">
        <v>1535</v>
      </c>
      <c r="F1734" s="923" t="s">
        <v>1403</v>
      </c>
      <c r="G1734" s="1480" t="str">
        <f>IF(S1734&lt;&gt;"","C","")</f>
        <v/>
      </c>
      <c r="H1734" s="1480" t="s">
        <v>2057</v>
      </c>
      <c r="I1734" s="242"/>
      <c r="J1734" s="1477"/>
      <c r="K1734" s="1477"/>
      <c r="L1734" s="1477"/>
      <c r="M1734" s="1477"/>
      <c r="N1734" s="1477"/>
      <c r="O1734" s="1477"/>
      <c r="P1734" s="1477"/>
      <c r="Q1734" s="1477"/>
      <c r="R1734" s="1480" t="s">
        <v>1544</v>
      </c>
      <c r="S1734" s="1480" t="str">
        <f>IF(Q$706="Yes",7,"")</f>
        <v/>
      </c>
      <c r="T1734" s="1477"/>
      <c r="U1734" s="1477"/>
      <c r="V1734" s="1477"/>
      <c r="W1734" s="1477"/>
      <c r="X1734" s="1477"/>
      <c r="Y1734" s="1477"/>
      <c r="Z1734" s="1477"/>
    </row>
    <row r="1735" spans="1:26" x14ac:dyDescent="0.25">
      <c r="A1735" s="929" t="s">
        <v>1404</v>
      </c>
      <c r="B1735" s="906" t="str">
        <f ca="1">_xlfn.IFNA(_xlfn.CONCAT(SUBSTITUTE(ADDRESS(1,MATCH(A1735,INDIRECT("'"&amp;E1735&amp;"'"&amp;"!A" &amp; $O$706 + 5 &amp; ":Z" &amp; $O$706+ 5),0),4),1,""),$O$706 + 6),"")</f>
        <v>J125</v>
      </c>
      <c r="C1735" s="906" t="str">
        <f t="shared" ca="1" si="254"/>
        <v>J</v>
      </c>
      <c r="D1735" s="906" t="s">
        <v>1372</v>
      </c>
      <c r="E1735" s="906" t="s">
        <v>1535</v>
      </c>
      <c r="F1735" s="923" t="s">
        <v>1404</v>
      </c>
      <c r="G1735" s="1480" t="str">
        <f>IF(S1735&lt;&gt;"","D","")</f>
        <v/>
      </c>
      <c r="H1735" s="1480" t="s">
        <v>2057</v>
      </c>
      <c r="I1735" s="242"/>
      <c r="J1735" s="1477"/>
      <c r="K1735" s="1477"/>
      <c r="L1735" s="1477"/>
      <c r="M1735" s="1477"/>
      <c r="N1735" s="1477"/>
      <c r="O1735" s="1477"/>
      <c r="P1735" s="1477"/>
      <c r="Q1735" s="1477"/>
      <c r="R1735" s="1480" t="s">
        <v>1544</v>
      </c>
      <c r="S1735" s="1480" t="str">
        <f>IF(Q$706="Yes",7,"")</f>
        <v/>
      </c>
      <c r="T1735" s="1477"/>
      <c r="U1735" s="1477"/>
      <c r="V1735" s="1477"/>
      <c r="W1735" s="1477"/>
      <c r="X1735" s="1477"/>
      <c r="Y1735" s="1477"/>
      <c r="Z1735" s="1477"/>
    </row>
    <row r="1736" spans="1:26" x14ac:dyDescent="0.25">
      <c r="A1736" s="929" t="s">
        <v>1405</v>
      </c>
      <c r="B1736" s="906" t="str">
        <f ca="1">_xlfn.IFNA(_xlfn.CONCAT(SUBSTITUTE(ADDRESS(1,MATCH(A1736,INDIRECT("'"&amp;E1736&amp;"'"&amp;"!A" &amp; $O$706 + 5 &amp; ":Z" &amp; $O$706+ 5),0),4),1,""),$O$706 + 6),"")</f>
        <v>L125</v>
      </c>
      <c r="C1736" s="906" t="str">
        <f t="shared" ca="1" si="254"/>
        <v>L</v>
      </c>
      <c r="D1736" s="906" t="s">
        <v>1372</v>
      </c>
      <c r="E1736" s="906" t="s">
        <v>1535</v>
      </c>
      <c r="F1736" s="1192" t="s">
        <v>2060</v>
      </c>
      <c r="G1736" s="1480" t="str">
        <f>IF(S1736&lt;&gt;"","F","")</f>
        <v/>
      </c>
      <c r="H1736" s="1480" t="s">
        <v>2057</v>
      </c>
      <c r="I1736" s="242"/>
      <c r="J1736" s="1477"/>
      <c r="K1736" s="1477"/>
      <c r="L1736" s="1477"/>
      <c r="M1736" s="1477"/>
      <c r="N1736" s="1477"/>
      <c r="O1736" s="1477"/>
      <c r="P1736" s="1477"/>
      <c r="Q1736" s="1477"/>
      <c r="R1736" s="1480" t="s">
        <v>1544</v>
      </c>
      <c r="S1736" s="1480" t="str">
        <f>IF(Q$706="Yes",7,"")</f>
        <v/>
      </c>
      <c r="T1736" s="1477"/>
      <c r="U1736" s="1477"/>
      <c r="V1736" s="1477"/>
      <c r="W1736" s="1477"/>
      <c r="X1736" s="1477"/>
      <c r="Y1736" s="1477"/>
      <c r="Z1736" s="1477"/>
    </row>
    <row r="1737" spans="1:26"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80" t="str">
        <f>IF(S1737&lt;&gt;"","A","")</f>
        <v/>
      </c>
      <c r="H1737" s="1480" t="s">
        <v>2057</v>
      </c>
      <c r="I1737" s="242"/>
      <c r="J1737" s="1477"/>
      <c r="K1737" s="1477"/>
      <c r="L1737" s="1477"/>
      <c r="M1737" s="1477"/>
      <c r="N1737" s="1477"/>
      <c r="O1737" s="1477"/>
      <c r="P1737" s="1477"/>
      <c r="Q1737" s="1477"/>
      <c r="R1737" s="1480" t="s">
        <v>1544</v>
      </c>
      <c r="S1737" s="1480" t="str">
        <f>IF(Q$736="Yes",8,"")</f>
        <v/>
      </c>
      <c r="T1737" s="1477"/>
      <c r="U1737" s="1477"/>
      <c r="V1737" s="1477"/>
      <c r="W1737" s="1477"/>
      <c r="X1737" s="1477"/>
      <c r="Y1737" s="1477"/>
      <c r="Z1737" s="1477"/>
    </row>
    <row r="1738" spans="1:26"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80" t="str">
        <f>IF(S1738&lt;&gt;"","B","")</f>
        <v/>
      </c>
      <c r="H1738" s="1480" t="s">
        <v>2057</v>
      </c>
      <c r="I1738" s="242"/>
      <c r="J1738" s="1477"/>
      <c r="K1738" s="1477"/>
      <c r="L1738" s="1477"/>
      <c r="M1738" s="1477"/>
      <c r="N1738" s="1477"/>
      <c r="O1738" s="1477"/>
      <c r="P1738" s="1477"/>
      <c r="Q1738" s="1477"/>
      <c r="R1738" s="1480" t="s">
        <v>1544</v>
      </c>
      <c r="S1738" s="1480" t="str">
        <f>IF(Q$736="Yes",8,"")</f>
        <v/>
      </c>
      <c r="T1738" s="1477"/>
      <c r="U1738" s="1477"/>
      <c r="V1738" s="1477"/>
      <c r="W1738" s="1477"/>
      <c r="X1738" s="1477"/>
      <c r="Y1738" s="1477"/>
      <c r="Z1738" s="1477"/>
    </row>
    <row r="1739" spans="1:26" x14ac:dyDescent="0.25">
      <c r="A1739" s="932" t="s">
        <v>1403</v>
      </c>
      <c r="B1739" s="906" t="str">
        <f ca="1">_xlfn.IFNA(_xlfn.CONCAT(SUBSTITUTE(ADDRESS(1,MATCH(A1739,INDIRECT("'"&amp;E1739&amp;"'"&amp;"!A" &amp; $O$736 + 5 &amp; ":Z" &amp; $O$736+ 5),0),4),1,""),$O$736 + 6),"")</f>
        <v>H141</v>
      </c>
      <c r="C1739" s="906" t="str">
        <f t="shared" ref="C1739:C1741" ca="1" si="255">_xlfn.IFNA(SUBSTITUTE(ADDRESS(1,MATCH(A1739,INDIRECT("'"&amp;E1739&amp;"'"&amp;"!A" &amp; $O$736 + 5 &amp; ":Z" &amp; $O$736+ 5),0),4),1,""),"")</f>
        <v>H</v>
      </c>
      <c r="D1739" s="906" t="s">
        <v>1372</v>
      </c>
      <c r="E1739" s="906" t="s">
        <v>1535</v>
      </c>
      <c r="F1739" s="923" t="s">
        <v>1403</v>
      </c>
      <c r="G1739" s="1480" t="str">
        <f>IF(S1739&lt;&gt;"","C","")</f>
        <v/>
      </c>
      <c r="H1739" s="1480" t="s">
        <v>2057</v>
      </c>
      <c r="I1739" s="242"/>
      <c r="J1739" s="1477"/>
      <c r="K1739" s="1477"/>
      <c r="L1739" s="1477"/>
      <c r="M1739" s="1477"/>
      <c r="N1739" s="1477"/>
      <c r="O1739" s="1477"/>
      <c r="P1739" s="1477"/>
      <c r="Q1739" s="1477"/>
      <c r="R1739" s="1480" t="s">
        <v>1544</v>
      </c>
      <c r="S1739" s="1480" t="str">
        <f>IF(Q$736="Yes",8,"")</f>
        <v/>
      </c>
      <c r="T1739" s="1477"/>
      <c r="U1739" s="1477"/>
      <c r="V1739" s="1477"/>
      <c r="W1739" s="1477"/>
      <c r="X1739" s="1477"/>
      <c r="Y1739" s="1477"/>
      <c r="Z1739" s="1477"/>
    </row>
    <row r="1740" spans="1:26" x14ac:dyDescent="0.25">
      <c r="A1740" s="932" t="s">
        <v>1404</v>
      </c>
      <c r="B1740" s="906" t="str">
        <f ca="1">_xlfn.IFNA(_xlfn.CONCAT(SUBSTITUTE(ADDRESS(1,MATCH(A1740,INDIRECT("'"&amp;E1740&amp;"'"&amp;"!A" &amp; $O$736 + 5 &amp; ":Z" &amp; $O$736+ 5),0),4),1,""),$O$736 + 6),"")</f>
        <v>J141</v>
      </c>
      <c r="C1740" s="906" t="str">
        <f t="shared" ca="1" si="255"/>
        <v>J</v>
      </c>
      <c r="D1740" s="906" t="s">
        <v>1372</v>
      </c>
      <c r="E1740" s="906" t="s">
        <v>1535</v>
      </c>
      <c r="F1740" s="923" t="s">
        <v>1404</v>
      </c>
      <c r="G1740" s="1480" t="str">
        <f>IF(S1740&lt;&gt;"","D","")</f>
        <v/>
      </c>
      <c r="H1740" s="1480" t="s">
        <v>2057</v>
      </c>
      <c r="I1740" s="242"/>
      <c r="J1740" s="1477"/>
      <c r="K1740" s="1477"/>
      <c r="L1740" s="1477"/>
      <c r="M1740" s="1477"/>
      <c r="N1740" s="1477"/>
      <c r="O1740" s="1477"/>
      <c r="P1740" s="1477"/>
      <c r="Q1740" s="1477"/>
      <c r="R1740" s="1480" t="s">
        <v>1544</v>
      </c>
      <c r="S1740" s="1480" t="str">
        <f>IF(Q$736="Yes",8,"")</f>
        <v/>
      </c>
      <c r="T1740" s="1477"/>
      <c r="U1740" s="1477"/>
      <c r="V1740" s="1477"/>
      <c r="W1740" s="1477"/>
      <c r="X1740" s="1477"/>
      <c r="Y1740" s="1477"/>
      <c r="Z1740" s="1477"/>
    </row>
    <row r="1741" spans="1:26" x14ac:dyDescent="0.25">
      <c r="A1741" s="932" t="s">
        <v>1405</v>
      </c>
      <c r="B1741" s="906" t="str">
        <f ca="1">_xlfn.IFNA(_xlfn.CONCAT(SUBSTITUTE(ADDRESS(1,MATCH(A1741,INDIRECT("'"&amp;E1741&amp;"'"&amp;"!A" &amp; $O$736 + 5 &amp; ":Z" &amp; $O$736+ 5),0),4),1,""),$O$736 + 6),"")</f>
        <v>L141</v>
      </c>
      <c r="C1741" s="906" t="str">
        <f t="shared" ca="1" si="255"/>
        <v>L</v>
      </c>
      <c r="D1741" s="906" t="s">
        <v>1372</v>
      </c>
      <c r="E1741" s="906" t="s">
        <v>1535</v>
      </c>
      <c r="F1741" s="1192" t="s">
        <v>2060</v>
      </c>
      <c r="G1741" s="1480" t="str">
        <f>IF(S1741&lt;&gt;"","F","")</f>
        <v/>
      </c>
      <c r="H1741" s="1480" t="s">
        <v>2057</v>
      </c>
      <c r="I1741" s="242"/>
      <c r="J1741" s="1477"/>
      <c r="K1741" s="1477"/>
      <c r="L1741" s="1477"/>
      <c r="M1741" s="1477"/>
      <c r="N1741" s="1477"/>
      <c r="O1741" s="1477"/>
      <c r="P1741" s="1477"/>
      <c r="Q1741" s="1477"/>
      <c r="R1741" s="1480" t="s">
        <v>1544</v>
      </c>
      <c r="S1741" s="1480" t="str">
        <f>IF(Q$736="Yes",8,"")</f>
        <v/>
      </c>
      <c r="T1741" s="1477"/>
      <c r="U1741" s="1477"/>
      <c r="V1741" s="1477"/>
      <c r="W1741" s="1477"/>
      <c r="X1741" s="1477"/>
      <c r="Y1741" s="1477"/>
      <c r="Z1741" s="1477"/>
    </row>
    <row r="1742" spans="1:26"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80" t="str">
        <f>IF(S1742&lt;&gt;"","A","")</f>
        <v>A</v>
      </c>
      <c r="H1742" s="1480" t="s">
        <v>2057</v>
      </c>
      <c r="I1742" s="242"/>
      <c r="J1742" s="1477"/>
      <c r="K1742" s="1477"/>
      <c r="L1742" s="1477"/>
      <c r="M1742" s="1477"/>
      <c r="N1742" s="1477"/>
      <c r="O1742" s="1477"/>
      <c r="P1742" s="1477"/>
      <c r="Q1742" s="1477"/>
      <c r="R1742" s="1480" t="s">
        <v>1550</v>
      </c>
      <c r="S1742" s="1480">
        <f>IF(Q$796="Yes",9,"")</f>
        <v>9</v>
      </c>
      <c r="T1742" s="1477"/>
      <c r="U1742" s="1477"/>
      <c r="V1742" s="1477"/>
      <c r="W1742" s="1477"/>
      <c r="X1742" s="1477"/>
      <c r="Y1742" s="1477"/>
      <c r="Z1742" s="1477"/>
    </row>
    <row r="1743" spans="1:26"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80" t="str">
        <f>IF(S1743&lt;&gt;"","B","")</f>
        <v>B</v>
      </c>
      <c r="H1743" s="1480" t="s">
        <v>2057</v>
      </c>
      <c r="I1743" s="242"/>
      <c r="J1743" s="1477"/>
      <c r="K1743" s="1477"/>
      <c r="L1743" s="1477"/>
      <c r="M1743" s="1477"/>
      <c r="N1743" s="1477"/>
      <c r="O1743" s="1477"/>
      <c r="P1743" s="1477"/>
      <c r="Q1743" s="1477"/>
      <c r="R1743" s="1480" t="s">
        <v>1550</v>
      </c>
      <c r="S1743" s="1480">
        <f>IF(Q$796="Yes",9,"")</f>
        <v>9</v>
      </c>
      <c r="T1743" s="1477"/>
      <c r="U1743" s="1477"/>
      <c r="V1743" s="1477"/>
      <c r="W1743" s="1477"/>
      <c r="X1743" s="1477"/>
      <c r="Y1743" s="1477"/>
      <c r="Z1743" s="1477"/>
    </row>
    <row r="1744" spans="1:26"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80" t="str">
        <f>IF(S1744&lt;&gt;"","C","")</f>
        <v>C</v>
      </c>
      <c r="H1744" s="1480" t="s">
        <v>2057</v>
      </c>
      <c r="I1744" s="242"/>
      <c r="J1744" s="1477"/>
      <c r="K1744" s="1477"/>
      <c r="L1744" s="1477"/>
      <c r="M1744" s="1477"/>
      <c r="N1744" s="1477"/>
      <c r="O1744" s="1477"/>
      <c r="P1744" s="1477"/>
      <c r="Q1744" s="1477"/>
      <c r="R1744" s="1480" t="s">
        <v>1550</v>
      </c>
      <c r="S1744" s="1480">
        <f>IF(Q$796="Yes",9,"")</f>
        <v>9</v>
      </c>
      <c r="T1744" s="1477"/>
      <c r="U1744" s="1477"/>
      <c r="V1744" s="1477"/>
      <c r="W1744" s="1477"/>
      <c r="X1744" s="1477"/>
      <c r="Y1744" s="1477"/>
      <c r="Z1744" s="1477"/>
    </row>
    <row r="1745" spans="1:26"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80" t="str">
        <f>IF(S1745&lt;&gt;"","D","")</f>
        <v>D</v>
      </c>
      <c r="H1745" s="1480" t="s">
        <v>2057</v>
      </c>
      <c r="I1745" s="242"/>
      <c r="J1745" s="1477"/>
      <c r="K1745" s="1477"/>
      <c r="L1745" s="1477"/>
      <c r="M1745" s="1477"/>
      <c r="N1745" s="1477"/>
      <c r="O1745" s="1477"/>
      <c r="P1745" s="1477"/>
      <c r="Q1745" s="1477"/>
      <c r="R1745" s="1480" t="s">
        <v>1550</v>
      </c>
      <c r="S1745" s="1480">
        <f>IF(Q$796="Yes",9,"")</f>
        <v>9</v>
      </c>
      <c r="T1745" s="1477"/>
      <c r="U1745" s="1477"/>
      <c r="V1745" s="1477"/>
      <c r="W1745" s="1477"/>
      <c r="X1745" s="1477"/>
      <c r="Y1745" s="1477"/>
      <c r="Z1745" s="1477"/>
    </row>
    <row r="1746" spans="1:26"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80" t="str">
        <f>IF(S1746&lt;&gt;"","F","")</f>
        <v>F</v>
      </c>
      <c r="H1746" s="1480" t="s">
        <v>2057</v>
      </c>
      <c r="I1746" s="242"/>
      <c r="J1746" s="1477"/>
      <c r="K1746" s="1477"/>
      <c r="L1746" s="1477"/>
      <c r="M1746" s="1477"/>
      <c r="N1746" s="1477"/>
      <c r="O1746" s="1477"/>
      <c r="P1746" s="1477"/>
      <c r="Q1746" s="1477"/>
      <c r="R1746" s="1480" t="s">
        <v>1550</v>
      </c>
      <c r="S1746" s="1480">
        <f>IF(Q$796="Yes",9,"")</f>
        <v>9</v>
      </c>
      <c r="T1746" s="1477"/>
      <c r="U1746" s="1477"/>
      <c r="V1746" s="1477"/>
      <c r="W1746" s="1477"/>
      <c r="X1746" s="1477"/>
      <c r="Y1746" s="1477"/>
      <c r="Z1746" s="1477"/>
    </row>
    <row r="1747" spans="1:26"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80" t="str">
        <f>IF(S1747&lt;&gt;"","A","")</f>
        <v/>
      </c>
      <c r="H1747" s="1480" t="s">
        <v>2057</v>
      </c>
      <c r="I1747" s="242"/>
      <c r="J1747" s="1477"/>
      <c r="K1747" s="1477"/>
      <c r="L1747" s="1477"/>
      <c r="M1747" s="1477"/>
      <c r="N1747" s="1477"/>
      <c r="O1747" s="1477"/>
      <c r="P1747" s="1477"/>
      <c r="Q1747" s="1477"/>
      <c r="R1747" s="1480" t="s">
        <v>1550</v>
      </c>
      <c r="S1747" s="1480" t="str">
        <f>IF(Q$814="Yes",10,"")</f>
        <v/>
      </c>
      <c r="T1747" s="1477"/>
      <c r="U1747" s="1477"/>
      <c r="V1747" s="1477"/>
      <c r="W1747" s="1477"/>
      <c r="X1747" s="1477"/>
      <c r="Y1747" s="1477"/>
      <c r="Z1747" s="1477"/>
    </row>
    <row r="1748" spans="1:26"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80" t="str">
        <f>IF(S1748&lt;&gt;"","B","")</f>
        <v/>
      </c>
      <c r="H1748" s="1480" t="s">
        <v>2057</v>
      </c>
      <c r="I1748" s="242"/>
      <c r="J1748" s="1477"/>
      <c r="K1748" s="1477"/>
      <c r="L1748" s="1477"/>
      <c r="M1748" s="1477"/>
      <c r="N1748" s="1477"/>
      <c r="O1748" s="1477"/>
      <c r="P1748" s="1477"/>
      <c r="Q1748" s="1477"/>
      <c r="R1748" s="1480" t="s">
        <v>1550</v>
      </c>
      <c r="S1748" s="1480" t="str">
        <f>IF(Q$814="Yes",10,"")</f>
        <v/>
      </c>
      <c r="T1748" s="1477"/>
      <c r="U1748" s="1477"/>
      <c r="V1748" s="1477"/>
      <c r="W1748" s="1477"/>
      <c r="X1748" s="1477"/>
      <c r="Y1748" s="1477"/>
      <c r="Z1748" s="1477"/>
    </row>
    <row r="1749" spans="1:26"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80" t="str">
        <f>IF(S1749&lt;&gt;"","C","")</f>
        <v/>
      </c>
      <c r="H1749" s="1480" t="s">
        <v>2057</v>
      </c>
      <c r="I1749" s="242"/>
      <c r="J1749" s="1477"/>
      <c r="K1749" s="1477"/>
      <c r="L1749" s="1477"/>
      <c r="M1749" s="1477"/>
      <c r="N1749" s="1477"/>
      <c r="O1749" s="1477"/>
      <c r="P1749" s="1477"/>
      <c r="Q1749" s="1477"/>
      <c r="R1749" s="1480" t="s">
        <v>1550</v>
      </c>
      <c r="S1749" s="1480" t="str">
        <f>IF(Q$814="Yes",10,"")</f>
        <v/>
      </c>
      <c r="T1749" s="1477"/>
      <c r="U1749" s="1477"/>
      <c r="V1749" s="1477"/>
      <c r="W1749" s="1477"/>
      <c r="X1749" s="1477"/>
      <c r="Y1749" s="1477"/>
      <c r="Z1749" s="1477"/>
    </row>
    <row r="1750" spans="1:26"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80" t="str">
        <f>IF(S1750&lt;&gt;"","D","")</f>
        <v/>
      </c>
      <c r="H1750" s="1480" t="s">
        <v>2057</v>
      </c>
      <c r="I1750" s="242"/>
      <c r="J1750" s="1477"/>
      <c r="K1750" s="1477"/>
      <c r="L1750" s="1477"/>
      <c r="M1750" s="1477"/>
      <c r="N1750" s="1477"/>
      <c r="O1750" s="1477"/>
      <c r="P1750" s="1477"/>
      <c r="Q1750" s="1477"/>
      <c r="R1750" s="1480" t="s">
        <v>1550</v>
      </c>
      <c r="S1750" s="1480" t="str">
        <f>IF(Q$814="Yes",10,"")</f>
        <v/>
      </c>
      <c r="T1750" s="1477"/>
      <c r="U1750" s="1477"/>
      <c r="V1750" s="1477"/>
      <c r="W1750" s="1477"/>
      <c r="X1750" s="1477"/>
      <c r="Y1750" s="1477"/>
      <c r="Z1750" s="1477"/>
    </row>
    <row r="1751" spans="1:26"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80" t="str">
        <f>IF(S1751&lt;&gt;"","F","")</f>
        <v/>
      </c>
      <c r="H1751" s="1480" t="s">
        <v>2057</v>
      </c>
      <c r="I1751" s="242"/>
      <c r="J1751" s="1477"/>
      <c r="K1751" s="1477"/>
      <c r="L1751" s="1477"/>
      <c r="M1751" s="1477"/>
      <c r="N1751" s="1477"/>
      <c r="O1751" s="1477"/>
      <c r="P1751" s="1477"/>
      <c r="Q1751" s="1477"/>
      <c r="R1751" s="1480" t="s">
        <v>1550</v>
      </c>
      <c r="S1751" s="1480" t="str">
        <f>IF(Q$814="Yes",10,"")</f>
        <v/>
      </c>
      <c r="T1751" s="1477"/>
      <c r="U1751" s="1477"/>
      <c r="V1751" s="1477"/>
      <c r="W1751" s="1477"/>
      <c r="X1751" s="1477"/>
      <c r="Y1751" s="1477"/>
      <c r="Z1751" s="1477"/>
    </row>
    <row r="1752" spans="1:26"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80" t="str">
        <f>IF(S1752&lt;&gt;"","A","")</f>
        <v/>
      </c>
      <c r="H1752" s="1480" t="s">
        <v>2057</v>
      </c>
      <c r="I1752" s="242"/>
      <c r="J1752" s="1477"/>
      <c r="K1752" s="1477"/>
      <c r="L1752" s="1477"/>
      <c r="M1752" s="1477"/>
      <c r="N1752" s="1477"/>
      <c r="O1752" s="1477"/>
      <c r="P1752" s="1477"/>
      <c r="Q1752" s="1477"/>
      <c r="R1752" s="1480" t="s">
        <v>1550</v>
      </c>
      <c r="S1752" s="1480" t="str">
        <f>IF(Q$832="Yes",11,"")</f>
        <v/>
      </c>
      <c r="T1752" s="1477"/>
      <c r="U1752" s="1477"/>
      <c r="V1752" s="1477"/>
      <c r="W1752" s="1477"/>
      <c r="X1752" s="1477"/>
      <c r="Y1752" s="1477"/>
      <c r="Z1752" s="1477"/>
    </row>
    <row r="1753" spans="1:26"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80" t="str">
        <f>IF(S1753&lt;&gt;"","B","")</f>
        <v/>
      </c>
      <c r="H1753" s="1480" t="s">
        <v>2057</v>
      </c>
      <c r="I1753" s="242"/>
      <c r="J1753" s="1477"/>
      <c r="K1753" s="1477"/>
      <c r="L1753" s="1477"/>
      <c r="M1753" s="1477"/>
      <c r="N1753" s="1477"/>
      <c r="O1753" s="1477"/>
      <c r="P1753" s="1477"/>
      <c r="Q1753" s="1477"/>
      <c r="R1753" s="1480" t="s">
        <v>1550</v>
      </c>
      <c r="S1753" s="1480" t="str">
        <f>IF(Q$832="Yes",11,"")</f>
        <v/>
      </c>
      <c r="T1753" s="1477"/>
      <c r="U1753" s="1477"/>
      <c r="V1753" s="1477"/>
      <c r="W1753" s="1477"/>
      <c r="X1753" s="1477"/>
      <c r="Y1753" s="1477"/>
      <c r="Z1753" s="1477"/>
    </row>
    <row r="1754" spans="1:26" x14ac:dyDescent="0.25">
      <c r="A1754" s="929" t="s">
        <v>1403</v>
      </c>
      <c r="B1754" s="906" t="str">
        <f ca="1">_xlfn.IFNA(_xlfn.CONCAT(SUBSTITUTE(ADDRESS(1,MATCH(A1754,INDIRECT("'"&amp;E1754&amp;"'"&amp;"!A" &amp; $O$832 + 5 &amp; ":Z" &amp; $O$832+ 5),0),4),1,""),$O$832 + 6),"")</f>
        <v>H213</v>
      </c>
      <c r="C1754" s="906" t="str">
        <f t="shared" ref="C1754:C1756" ca="1" si="256">_xlfn.IFNA(SUBSTITUTE(ADDRESS(1,MATCH(A1754,INDIRECT("'"&amp;E1754&amp;"'"&amp;"!A" &amp; $O$832 + 5 &amp; ":Z" &amp; $O$832+ 5),0),4),1,""),"")</f>
        <v>H</v>
      </c>
      <c r="D1754" s="906" t="s">
        <v>1372</v>
      </c>
      <c r="E1754" s="906" t="s">
        <v>1535</v>
      </c>
      <c r="F1754" s="923" t="s">
        <v>1403</v>
      </c>
      <c r="G1754" s="1480" t="str">
        <f>IF(S1754&lt;&gt;"","C","")</f>
        <v/>
      </c>
      <c r="H1754" s="1480" t="s">
        <v>2057</v>
      </c>
      <c r="I1754" s="242"/>
      <c r="J1754" s="1477"/>
      <c r="K1754" s="1477"/>
      <c r="L1754" s="1477"/>
      <c r="M1754" s="1477"/>
      <c r="N1754" s="1477"/>
      <c r="O1754" s="1477"/>
      <c r="P1754" s="1477"/>
      <c r="Q1754" s="1477"/>
      <c r="R1754" s="1480" t="s">
        <v>1550</v>
      </c>
      <c r="S1754" s="1480" t="str">
        <f>IF(Q$832="Yes",11,"")</f>
        <v/>
      </c>
      <c r="T1754" s="1477"/>
      <c r="U1754" s="1477"/>
      <c r="V1754" s="1477"/>
      <c r="W1754" s="1477"/>
      <c r="X1754" s="1477"/>
      <c r="Y1754" s="1477"/>
      <c r="Z1754" s="1477"/>
    </row>
    <row r="1755" spans="1:26" x14ac:dyDescent="0.25">
      <c r="A1755" s="929" t="s">
        <v>1404</v>
      </c>
      <c r="B1755" s="906" t="str">
        <f ca="1">_xlfn.IFNA(_xlfn.CONCAT(SUBSTITUTE(ADDRESS(1,MATCH(A1755,INDIRECT("'"&amp;E1755&amp;"'"&amp;"!A" &amp; $O$832 + 5 &amp; ":Z" &amp; $O$832+ 5),0),4),1,""),$O$832 + 6),"")</f>
        <v>J213</v>
      </c>
      <c r="C1755" s="906" t="str">
        <f t="shared" ca="1" si="256"/>
        <v>J</v>
      </c>
      <c r="D1755" s="906" t="s">
        <v>1372</v>
      </c>
      <c r="E1755" s="906" t="s">
        <v>1535</v>
      </c>
      <c r="F1755" s="923" t="s">
        <v>1404</v>
      </c>
      <c r="G1755" s="1480" t="str">
        <f>IF(S1755&lt;&gt;"","D","")</f>
        <v/>
      </c>
      <c r="H1755" s="1480" t="s">
        <v>2057</v>
      </c>
      <c r="I1755" s="242"/>
      <c r="J1755" s="1477"/>
      <c r="K1755" s="1477"/>
      <c r="L1755" s="1477"/>
      <c r="M1755" s="1477"/>
      <c r="N1755" s="1477"/>
      <c r="O1755" s="1477"/>
      <c r="P1755" s="1477"/>
      <c r="Q1755" s="1477"/>
      <c r="R1755" s="1480" t="s">
        <v>1550</v>
      </c>
      <c r="S1755" s="1480" t="str">
        <f>IF(Q$832="Yes",11,"")</f>
        <v/>
      </c>
      <c r="T1755" s="1477"/>
      <c r="U1755" s="1477"/>
      <c r="V1755" s="1477"/>
      <c r="W1755" s="1477"/>
      <c r="X1755" s="1477"/>
      <c r="Y1755" s="1477"/>
      <c r="Z1755" s="1477"/>
    </row>
    <row r="1756" spans="1:26" x14ac:dyDescent="0.25">
      <c r="A1756" s="929" t="s">
        <v>1405</v>
      </c>
      <c r="B1756" s="906" t="str">
        <f ca="1">_xlfn.IFNA(_xlfn.CONCAT(SUBSTITUTE(ADDRESS(1,MATCH(A1756,INDIRECT("'"&amp;E1756&amp;"'"&amp;"!A" &amp; $O$832 + 5 &amp; ":Z" &amp; $O$832+ 5),0),4),1,""),$O$832 + 6),"")</f>
        <v>L213</v>
      </c>
      <c r="C1756" s="906" t="str">
        <f t="shared" ca="1" si="256"/>
        <v>L</v>
      </c>
      <c r="D1756" s="906" t="s">
        <v>1372</v>
      </c>
      <c r="E1756" s="906" t="s">
        <v>1535</v>
      </c>
      <c r="F1756" s="1192" t="s">
        <v>2060</v>
      </c>
      <c r="G1756" s="1480" t="str">
        <f>IF(S1756&lt;&gt;"","F","")</f>
        <v/>
      </c>
      <c r="H1756" s="1480" t="s">
        <v>2057</v>
      </c>
      <c r="I1756" s="242"/>
      <c r="J1756" s="1477"/>
      <c r="K1756" s="1477"/>
      <c r="L1756" s="1477"/>
      <c r="M1756" s="1477"/>
      <c r="N1756" s="1477"/>
      <c r="O1756" s="1477"/>
      <c r="P1756" s="1477"/>
      <c r="Q1756" s="1477"/>
      <c r="R1756" s="1480" t="s">
        <v>1550</v>
      </c>
      <c r="S1756" s="1480" t="str">
        <f>IF(Q$832="Yes",11,"")</f>
        <v/>
      </c>
      <c r="T1756" s="1477"/>
      <c r="U1756" s="1477"/>
      <c r="V1756" s="1477"/>
      <c r="W1756" s="1477"/>
      <c r="X1756" s="1477"/>
      <c r="Y1756" s="1477"/>
      <c r="Z1756" s="1477"/>
    </row>
    <row r="1757" spans="1:26"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80" t="str">
        <f>IF(S1757&lt;&gt;"","A","")</f>
        <v/>
      </c>
      <c r="H1757" s="1480" t="s">
        <v>2057</v>
      </c>
      <c r="I1757" s="242"/>
      <c r="J1757" s="1477"/>
      <c r="K1757" s="1477"/>
      <c r="L1757" s="1477"/>
      <c r="M1757" s="1477"/>
      <c r="N1757" s="1477"/>
      <c r="O1757" s="1477"/>
      <c r="P1757" s="1477"/>
      <c r="Q1757" s="1477"/>
      <c r="R1757" s="1480" t="s">
        <v>1550</v>
      </c>
      <c r="S1757" s="1480" t="str">
        <f>IF(Q$862="Yes",12,"")</f>
        <v/>
      </c>
      <c r="T1757" s="1477"/>
      <c r="U1757" s="1477"/>
      <c r="V1757" s="1477"/>
      <c r="W1757" s="1477"/>
      <c r="X1757" s="1477"/>
      <c r="Y1757" s="1477"/>
      <c r="Z1757" s="1477"/>
    </row>
    <row r="1758" spans="1:26"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80" t="str">
        <f>IF(S1758&lt;&gt;"","B","")</f>
        <v/>
      </c>
      <c r="H1758" s="1480" t="s">
        <v>2057</v>
      </c>
      <c r="I1758" s="242"/>
      <c r="J1758" s="1477"/>
      <c r="K1758" s="1477"/>
      <c r="L1758" s="1477"/>
      <c r="M1758" s="1477"/>
      <c r="N1758" s="1477"/>
      <c r="O1758" s="1477"/>
      <c r="P1758" s="1477"/>
      <c r="Q1758" s="1477"/>
      <c r="R1758" s="1480" t="s">
        <v>1550</v>
      </c>
      <c r="S1758" s="1480" t="str">
        <f>IF(Q$862="Yes",12,"")</f>
        <v/>
      </c>
      <c r="T1758" s="1477"/>
      <c r="U1758" s="1477"/>
      <c r="V1758" s="1477"/>
      <c r="W1758" s="1477"/>
      <c r="X1758" s="1477"/>
      <c r="Y1758" s="1477"/>
      <c r="Z1758" s="1477"/>
    </row>
    <row r="1759" spans="1:26" x14ac:dyDescent="0.25">
      <c r="A1759" s="932" t="s">
        <v>1403</v>
      </c>
      <c r="B1759" s="906" t="str">
        <f ca="1">_xlfn.IFNA(_xlfn.CONCAT(SUBSTITUTE(ADDRESS(1,MATCH(A1759,INDIRECT("'"&amp;E1759&amp;"'"&amp;"!A" &amp; $O$862 + 5 &amp; ":Z" &amp; $O$862+ 5),0),4),1,""),$O$862 + 6),"")</f>
        <v>H229</v>
      </c>
      <c r="C1759" s="906" t="str">
        <f t="shared" ref="C1759:C1761" ca="1" si="257">_xlfn.IFNA(SUBSTITUTE(ADDRESS(1,MATCH(A1759,INDIRECT("'"&amp;E1759&amp;"'"&amp;"!A" &amp; $O$862 + 5 &amp; ":Z" &amp; $O$862+ 5),0),4),1,""),"")</f>
        <v>H</v>
      </c>
      <c r="D1759" s="906" t="s">
        <v>1372</v>
      </c>
      <c r="E1759" s="906" t="s">
        <v>1535</v>
      </c>
      <c r="F1759" s="923" t="s">
        <v>1403</v>
      </c>
      <c r="G1759" s="1480" t="str">
        <f>IF(S1759&lt;&gt;"","C","")</f>
        <v/>
      </c>
      <c r="H1759" s="1480" t="s">
        <v>2057</v>
      </c>
      <c r="I1759" s="242"/>
      <c r="J1759" s="1477"/>
      <c r="K1759" s="1477"/>
      <c r="L1759" s="1477"/>
      <c r="M1759" s="1477"/>
      <c r="N1759" s="1477"/>
      <c r="O1759" s="1477"/>
      <c r="P1759" s="1477"/>
      <c r="Q1759" s="1477"/>
      <c r="R1759" s="1480" t="s">
        <v>1550</v>
      </c>
      <c r="S1759" s="1480" t="str">
        <f>IF(Q$862="Yes",12,"")</f>
        <v/>
      </c>
      <c r="T1759" s="1477"/>
      <c r="U1759" s="1477"/>
      <c r="V1759" s="1477"/>
      <c r="W1759" s="1477"/>
      <c r="X1759" s="1477"/>
      <c r="Y1759" s="1477"/>
      <c r="Z1759" s="1477"/>
    </row>
    <row r="1760" spans="1:26" x14ac:dyDescent="0.25">
      <c r="A1760" s="932" t="s">
        <v>1404</v>
      </c>
      <c r="B1760" s="906" t="str">
        <f ca="1">_xlfn.IFNA(_xlfn.CONCAT(SUBSTITUTE(ADDRESS(1,MATCH(A1760,INDIRECT("'"&amp;E1760&amp;"'"&amp;"!A" &amp; $O$862 + 5 &amp; ":Z" &amp; $O$862+ 5),0),4),1,""),$O$862 + 6),"")</f>
        <v>J229</v>
      </c>
      <c r="C1760" s="906" t="str">
        <f t="shared" ca="1" si="257"/>
        <v>J</v>
      </c>
      <c r="D1760" s="906" t="s">
        <v>1372</v>
      </c>
      <c r="E1760" s="906" t="s">
        <v>1535</v>
      </c>
      <c r="F1760" s="923" t="s">
        <v>1404</v>
      </c>
      <c r="G1760" s="1480" t="str">
        <f>IF(S1760&lt;&gt;"","D","")</f>
        <v/>
      </c>
      <c r="H1760" s="1480" t="s">
        <v>2057</v>
      </c>
      <c r="I1760" s="242"/>
      <c r="J1760" s="1477"/>
      <c r="K1760" s="1477"/>
      <c r="L1760" s="1477"/>
      <c r="M1760" s="1477"/>
      <c r="N1760" s="1477"/>
      <c r="O1760" s="1477"/>
      <c r="P1760" s="1477"/>
      <c r="Q1760" s="1477"/>
      <c r="R1760" s="1480" t="s">
        <v>1550</v>
      </c>
      <c r="S1760" s="1480" t="str">
        <f>IF(Q$862="Yes",12,"")</f>
        <v/>
      </c>
      <c r="T1760" s="1477"/>
      <c r="U1760" s="1477"/>
      <c r="V1760" s="1477"/>
      <c r="W1760" s="1477"/>
      <c r="X1760" s="1477"/>
      <c r="Y1760" s="1477"/>
      <c r="Z1760" s="1477"/>
    </row>
    <row r="1761" spans="1:26" x14ac:dyDescent="0.25">
      <c r="A1761" s="932" t="s">
        <v>1405</v>
      </c>
      <c r="B1761" s="906" t="str">
        <f ca="1">_xlfn.IFNA(_xlfn.CONCAT(SUBSTITUTE(ADDRESS(1,MATCH(A1761,INDIRECT("'"&amp;E1761&amp;"'"&amp;"!A" &amp; $O$862 + 5 &amp; ":Z" &amp; $O$862+ 5),0),4),1,""),$O$862 + 6),"")</f>
        <v>L229</v>
      </c>
      <c r="C1761" s="906" t="str">
        <f t="shared" ca="1" si="257"/>
        <v>L</v>
      </c>
      <c r="D1761" s="906" t="s">
        <v>1372</v>
      </c>
      <c r="E1761" s="906" t="s">
        <v>1535</v>
      </c>
      <c r="F1761" s="1192" t="s">
        <v>2060</v>
      </c>
      <c r="G1761" s="1480" t="str">
        <f>IF(S1761&lt;&gt;"","F","")</f>
        <v/>
      </c>
      <c r="H1761" s="1480" t="s">
        <v>2057</v>
      </c>
      <c r="I1761" s="242"/>
      <c r="J1761" s="1477"/>
      <c r="K1761" s="1477"/>
      <c r="L1761" s="1477"/>
      <c r="M1761" s="1477"/>
      <c r="N1761" s="1477"/>
      <c r="O1761" s="1477"/>
      <c r="P1761" s="1477"/>
      <c r="Q1761" s="1477"/>
      <c r="R1761" s="1480" t="s">
        <v>1550</v>
      </c>
      <c r="S1761" s="1480" t="str">
        <f>IF(Q$862="Yes",12,"")</f>
        <v/>
      </c>
      <c r="T1761" s="1477"/>
      <c r="U1761" s="1477"/>
      <c r="V1761" s="1477"/>
      <c r="W1761" s="1477"/>
      <c r="X1761" s="1477"/>
      <c r="Y1761" s="1477"/>
      <c r="Z1761" s="1477"/>
    </row>
    <row r="1762" spans="1:26"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80" t="str">
        <f>IF(S1762&lt;&gt;"","A","")</f>
        <v>A</v>
      </c>
      <c r="H1762" s="1480" t="s">
        <v>2057</v>
      </c>
      <c r="I1762" s="242"/>
      <c r="J1762" s="1477"/>
      <c r="K1762" s="1477"/>
      <c r="L1762" s="1477"/>
      <c r="M1762" s="1477"/>
      <c r="N1762" s="1477"/>
      <c r="O1762" s="1477"/>
      <c r="P1762" s="1477"/>
      <c r="Q1762" s="1477"/>
      <c r="R1762" s="1480" t="s">
        <v>396</v>
      </c>
      <c r="S1762" s="1480">
        <f>IF(Q$892="Yes",13,"")</f>
        <v>13</v>
      </c>
      <c r="T1762" s="1477"/>
      <c r="U1762" s="1477"/>
      <c r="V1762" s="1477"/>
      <c r="W1762" s="1477"/>
      <c r="X1762" s="1477"/>
      <c r="Y1762" s="1477"/>
      <c r="Z1762" s="1477"/>
    </row>
    <row r="1763" spans="1:26"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80" t="str">
        <f>IF(S1763&lt;&gt;"","B","")</f>
        <v>B</v>
      </c>
      <c r="H1763" s="1480" t="s">
        <v>2057</v>
      </c>
      <c r="I1763" s="242"/>
      <c r="J1763" s="1477"/>
      <c r="K1763" s="1477"/>
      <c r="L1763" s="1477"/>
      <c r="M1763" s="1477"/>
      <c r="N1763" s="1477"/>
      <c r="O1763" s="1477"/>
      <c r="P1763" s="1477"/>
      <c r="Q1763" s="1477"/>
      <c r="R1763" s="1480" t="s">
        <v>396</v>
      </c>
      <c r="S1763" s="1480">
        <f>IF(Q$892="Yes",13,"")</f>
        <v>13</v>
      </c>
      <c r="T1763" s="1477"/>
      <c r="U1763" s="1477"/>
      <c r="V1763" s="1477"/>
      <c r="W1763" s="1477"/>
      <c r="X1763" s="1477"/>
      <c r="Y1763" s="1477"/>
      <c r="Z1763" s="1477"/>
    </row>
    <row r="1764" spans="1:26"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80" t="str">
        <f>IF(S1764&lt;&gt;"","C","")</f>
        <v>C</v>
      </c>
      <c r="H1764" s="1480" t="s">
        <v>2057</v>
      </c>
      <c r="I1764" s="242"/>
      <c r="J1764" s="1477"/>
      <c r="K1764" s="1477"/>
      <c r="L1764" s="1477"/>
      <c r="M1764" s="1477"/>
      <c r="N1764" s="1477"/>
      <c r="O1764" s="1477"/>
      <c r="P1764" s="1477"/>
      <c r="Q1764" s="1477"/>
      <c r="R1764" s="1480" t="s">
        <v>396</v>
      </c>
      <c r="S1764" s="1480">
        <f>IF(Q$892="Yes",13,"")</f>
        <v>13</v>
      </c>
      <c r="T1764" s="1477"/>
      <c r="U1764" s="1477"/>
      <c r="V1764" s="1477"/>
      <c r="W1764" s="1477"/>
      <c r="X1764" s="1477"/>
      <c r="Y1764" s="1477"/>
      <c r="Z1764" s="1477"/>
    </row>
    <row r="1765" spans="1:26"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80" t="str">
        <f>IF(S1765&lt;&gt;"","D","")</f>
        <v>D</v>
      </c>
      <c r="H1765" s="1480" t="s">
        <v>2057</v>
      </c>
      <c r="I1765" s="242"/>
      <c r="J1765" s="1477"/>
      <c r="K1765" s="1477"/>
      <c r="L1765" s="1477"/>
      <c r="M1765" s="1477"/>
      <c r="N1765" s="1477"/>
      <c r="O1765" s="1477"/>
      <c r="P1765" s="1477"/>
      <c r="Q1765" s="1477"/>
      <c r="R1765" s="1480" t="s">
        <v>396</v>
      </c>
      <c r="S1765" s="1480">
        <f>IF(Q$892="Yes",13,"")</f>
        <v>13</v>
      </c>
      <c r="T1765" s="1477"/>
      <c r="U1765" s="1477"/>
      <c r="V1765" s="1477"/>
      <c r="W1765" s="1477"/>
      <c r="X1765" s="1477"/>
      <c r="Y1765" s="1477"/>
      <c r="Z1765" s="1477"/>
    </row>
    <row r="1766" spans="1:26"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80" t="str">
        <f>IF(S1766&lt;&gt;"","F","")</f>
        <v>F</v>
      </c>
      <c r="H1766" s="1480" t="s">
        <v>2057</v>
      </c>
      <c r="I1766" s="242"/>
      <c r="J1766" s="1477"/>
      <c r="K1766" s="1477"/>
      <c r="L1766" s="1477"/>
      <c r="M1766" s="1477"/>
      <c r="N1766" s="1477"/>
      <c r="O1766" s="1477"/>
      <c r="P1766" s="1477"/>
      <c r="Q1766" s="1477"/>
      <c r="R1766" s="1480" t="s">
        <v>396</v>
      </c>
      <c r="S1766" s="1480">
        <f>IF(Q$892="Yes",13,"")</f>
        <v>13</v>
      </c>
      <c r="T1766" s="1477"/>
      <c r="U1766" s="1477"/>
      <c r="V1766" s="1477"/>
      <c r="W1766" s="1477"/>
      <c r="X1766" s="1477"/>
      <c r="Y1766" s="1477"/>
      <c r="Z1766" s="1477"/>
    </row>
    <row r="1767" spans="1:26"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80" t="str">
        <f>IF(S1767&lt;&gt;"","A","")</f>
        <v/>
      </c>
      <c r="H1767" s="1480" t="s">
        <v>2057</v>
      </c>
      <c r="I1767" s="242"/>
      <c r="J1767" s="1477"/>
      <c r="K1767" s="1477"/>
      <c r="L1767" s="1477"/>
      <c r="M1767" s="1477"/>
      <c r="N1767" s="1477"/>
      <c r="O1767" s="1477"/>
      <c r="P1767" s="1477"/>
      <c r="Q1767" s="1477"/>
      <c r="R1767" s="1480" t="s">
        <v>396</v>
      </c>
      <c r="S1767" s="1480" t="str">
        <f>IF(Q$911="Yes",14,"")</f>
        <v/>
      </c>
      <c r="T1767" s="1477"/>
      <c r="U1767" s="1477"/>
      <c r="V1767" s="1477"/>
      <c r="W1767" s="1477"/>
      <c r="X1767" s="1477"/>
      <c r="Y1767" s="1477"/>
      <c r="Z1767" s="1477"/>
    </row>
    <row r="1768" spans="1:26"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80" t="str">
        <f>IF(S1768&lt;&gt;"","B","")</f>
        <v/>
      </c>
      <c r="H1768" s="1480" t="s">
        <v>2057</v>
      </c>
      <c r="I1768" s="242"/>
      <c r="J1768" s="1477"/>
      <c r="K1768" s="1477"/>
      <c r="L1768" s="1477"/>
      <c r="M1768" s="1477"/>
      <c r="N1768" s="1477"/>
      <c r="O1768" s="1477"/>
      <c r="P1768" s="1477"/>
      <c r="Q1768" s="1477"/>
      <c r="R1768" s="1480" t="s">
        <v>396</v>
      </c>
      <c r="S1768" s="1480" t="str">
        <f>IF(Q$911="Yes",14,"")</f>
        <v/>
      </c>
      <c r="T1768" s="1477"/>
      <c r="U1768" s="1477"/>
      <c r="V1768" s="1477"/>
      <c r="W1768" s="1477"/>
      <c r="X1768" s="1477"/>
      <c r="Y1768" s="1477"/>
      <c r="Z1768" s="1477"/>
    </row>
    <row r="1769" spans="1:26"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80" t="str">
        <f>IF(S1769&lt;&gt;"","C","")</f>
        <v/>
      </c>
      <c r="H1769" s="1480" t="s">
        <v>2057</v>
      </c>
      <c r="I1769" s="242"/>
      <c r="J1769" s="1477"/>
      <c r="K1769" s="1477"/>
      <c r="L1769" s="1477"/>
      <c r="M1769" s="1477"/>
      <c r="N1769" s="1477"/>
      <c r="O1769" s="1477"/>
      <c r="P1769" s="1477"/>
      <c r="Q1769" s="1477"/>
      <c r="R1769" s="1480" t="s">
        <v>396</v>
      </c>
      <c r="S1769" s="1480" t="str">
        <f>IF(Q$911="Yes",14,"")</f>
        <v/>
      </c>
      <c r="T1769" s="1477"/>
      <c r="U1769" s="1477"/>
      <c r="V1769" s="1477"/>
      <c r="W1769" s="1477"/>
      <c r="X1769" s="1477"/>
      <c r="Y1769" s="1477"/>
      <c r="Z1769" s="1477"/>
    </row>
    <row r="1770" spans="1:26"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80" t="str">
        <f>IF(S1770&lt;&gt;"","D","")</f>
        <v/>
      </c>
      <c r="H1770" s="1480" t="s">
        <v>2057</v>
      </c>
      <c r="I1770" s="242"/>
      <c r="J1770" s="1477"/>
      <c r="K1770" s="1477"/>
      <c r="L1770" s="1477"/>
      <c r="M1770" s="1477"/>
      <c r="N1770" s="1477"/>
      <c r="O1770" s="1477"/>
      <c r="P1770" s="1477"/>
      <c r="Q1770" s="1477"/>
      <c r="R1770" s="1480" t="s">
        <v>396</v>
      </c>
      <c r="S1770" s="1480" t="str">
        <f>IF(Q$911="Yes",14,"")</f>
        <v/>
      </c>
      <c r="T1770" s="1477"/>
      <c r="U1770" s="1477"/>
      <c r="V1770" s="1477"/>
      <c r="W1770" s="1477"/>
      <c r="X1770" s="1477"/>
      <c r="Y1770" s="1477"/>
      <c r="Z1770" s="1477"/>
    </row>
    <row r="1771" spans="1:26"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80" t="str">
        <f>IF(S1771&lt;&gt;"","F","")</f>
        <v/>
      </c>
      <c r="H1771" s="1480" t="s">
        <v>2057</v>
      </c>
      <c r="I1771" s="242"/>
      <c r="J1771" s="1477"/>
      <c r="K1771" s="1477"/>
      <c r="L1771" s="1477"/>
      <c r="M1771" s="1477"/>
      <c r="N1771" s="1477"/>
      <c r="O1771" s="1477"/>
      <c r="P1771" s="1477"/>
      <c r="Q1771" s="1477"/>
      <c r="R1771" s="1480" t="s">
        <v>396</v>
      </c>
      <c r="S1771" s="1480" t="str">
        <f>IF(Q$911="Yes",14,"")</f>
        <v/>
      </c>
      <c r="T1771" s="1477"/>
      <c r="U1771" s="1477"/>
      <c r="V1771" s="1477"/>
      <c r="W1771" s="1477"/>
      <c r="X1771" s="1477"/>
      <c r="Y1771" s="1477"/>
      <c r="Z1771" s="1477"/>
    </row>
    <row r="1772" spans="1:26"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80" t="str">
        <f>IF(S1772&lt;&gt;"","A","")</f>
        <v/>
      </c>
      <c r="H1772" s="1480" t="s">
        <v>2057</v>
      </c>
      <c r="I1772" s="242"/>
      <c r="J1772" s="1477"/>
      <c r="K1772" s="1477"/>
      <c r="L1772" s="1477"/>
      <c r="M1772" s="1477"/>
      <c r="N1772" s="1477"/>
      <c r="O1772" s="1477"/>
      <c r="P1772" s="1477"/>
      <c r="Q1772" s="1477"/>
      <c r="R1772" s="1480" t="s">
        <v>396</v>
      </c>
      <c r="S1772" s="1480" t="str">
        <f>IF(Q$930="Yes",15,"")</f>
        <v/>
      </c>
      <c r="T1772" s="1477"/>
      <c r="U1772" s="1477"/>
      <c r="V1772" s="1477"/>
      <c r="W1772" s="1477"/>
      <c r="X1772" s="1477"/>
      <c r="Y1772" s="1477"/>
      <c r="Z1772" s="1477"/>
    </row>
    <row r="1773" spans="1:26"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80" t="str">
        <f>IF(S1773&lt;&gt;"","B","")</f>
        <v/>
      </c>
      <c r="H1773" s="1480" t="s">
        <v>2057</v>
      </c>
      <c r="I1773" s="242"/>
      <c r="J1773" s="1477"/>
      <c r="K1773" s="1477"/>
      <c r="L1773" s="1477"/>
      <c r="M1773" s="1477"/>
      <c r="N1773" s="1477"/>
      <c r="O1773" s="1477"/>
      <c r="P1773" s="1477"/>
      <c r="Q1773" s="1477"/>
      <c r="R1773" s="1480" t="s">
        <v>396</v>
      </c>
      <c r="S1773" s="1480" t="str">
        <f>IF(Q$930="Yes",15,"")</f>
        <v/>
      </c>
      <c r="T1773" s="1477"/>
      <c r="U1773" s="1477"/>
      <c r="V1773" s="1477"/>
      <c r="W1773" s="1477"/>
      <c r="X1773" s="1477"/>
      <c r="Y1773" s="1477"/>
      <c r="Z1773" s="1477"/>
    </row>
    <row r="1774" spans="1:26"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80" t="str">
        <f>IF(S1774&lt;&gt;"","C","")</f>
        <v/>
      </c>
      <c r="H1774" s="1480" t="s">
        <v>2057</v>
      </c>
      <c r="I1774" s="242"/>
      <c r="J1774" s="1477"/>
      <c r="K1774" s="1477"/>
      <c r="L1774" s="1477"/>
      <c r="M1774" s="1477"/>
      <c r="N1774" s="1477"/>
      <c r="O1774" s="1477"/>
      <c r="P1774" s="1477"/>
      <c r="Q1774" s="1477"/>
      <c r="R1774" s="1480" t="s">
        <v>396</v>
      </c>
      <c r="S1774" s="1480" t="str">
        <f>IF(Q$930="Yes",15,"")</f>
        <v/>
      </c>
      <c r="T1774" s="1477"/>
      <c r="U1774" s="1477"/>
      <c r="V1774" s="1477"/>
      <c r="W1774" s="1477"/>
      <c r="X1774" s="1477"/>
      <c r="Y1774" s="1477"/>
      <c r="Z1774" s="1477"/>
    </row>
    <row r="1775" spans="1:26"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80" t="str">
        <f>IF(S1775&lt;&gt;"","D","")</f>
        <v/>
      </c>
      <c r="H1775" s="1480" t="s">
        <v>2057</v>
      </c>
      <c r="I1775" s="242"/>
      <c r="J1775" s="1477"/>
      <c r="K1775" s="1477"/>
      <c r="L1775" s="1477"/>
      <c r="M1775" s="1477"/>
      <c r="N1775" s="1477"/>
      <c r="O1775" s="1477"/>
      <c r="P1775" s="1477"/>
      <c r="Q1775" s="1477"/>
      <c r="R1775" s="1480" t="s">
        <v>396</v>
      </c>
      <c r="S1775" s="1480" t="str">
        <f>IF(Q$930="Yes",15,"")</f>
        <v/>
      </c>
      <c r="T1775" s="1477"/>
      <c r="U1775" s="1477"/>
      <c r="V1775" s="1477"/>
      <c r="W1775" s="1477"/>
      <c r="X1775" s="1477"/>
      <c r="Y1775" s="1477"/>
      <c r="Z1775" s="1477"/>
    </row>
    <row r="1776" spans="1:26"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80" t="str">
        <f>IF(S1776&lt;&gt;"","F","")</f>
        <v/>
      </c>
      <c r="H1776" s="1480" t="s">
        <v>2057</v>
      </c>
      <c r="I1776" s="242"/>
      <c r="J1776" s="1477"/>
      <c r="K1776" s="1477"/>
      <c r="L1776" s="1477"/>
      <c r="M1776" s="1477"/>
      <c r="N1776" s="1477"/>
      <c r="O1776" s="1477"/>
      <c r="P1776" s="1477"/>
      <c r="Q1776" s="1477"/>
      <c r="R1776" s="1480" t="s">
        <v>396</v>
      </c>
      <c r="S1776" s="1480" t="str">
        <f>IF(Q$930="Yes",15,"")</f>
        <v/>
      </c>
      <c r="T1776" s="1477"/>
      <c r="U1776" s="1477"/>
      <c r="V1776" s="1477"/>
      <c r="W1776" s="1477"/>
      <c r="X1776" s="1477"/>
      <c r="Y1776" s="1477"/>
      <c r="Z1776" s="1477"/>
    </row>
    <row r="1777" spans="1:26"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80" t="str">
        <f>IF(S1777&lt;&gt;"","A","")</f>
        <v/>
      </c>
      <c r="H1777" s="1480" t="s">
        <v>2057</v>
      </c>
      <c r="I1777" s="242"/>
      <c r="J1777" s="1477"/>
      <c r="K1777" s="1477"/>
      <c r="L1777" s="1477"/>
      <c r="M1777" s="1477"/>
      <c r="N1777" s="1477"/>
      <c r="O1777" s="1477"/>
      <c r="P1777" s="1477"/>
      <c r="Q1777" s="1477"/>
      <c r="R1777" s="1480" t="s">
        <v>396</v>
      </c>
      <c r="S1777" s="1480" t="str">
        <f>IF(Q$949="Yes",16,"")</f>
        <v/>
      </c>
      <c r="T1777" s="1477"/>
      <c r="U1777" s="1477"/>
      <c r="V1777" s="1477"/>
      <c r="W1777" s="1477"/>
      <c r="X1777" s="1477"/>
      <c r="Y1777" s="1477"/>
      <c r="Z1777" s="1477"/>
    </row>
    <row r="1778" spans="1:26"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80" t="str">
        <f>IF(S1778&lt;&gt;"","B","")</f>
        <v/>
      </c>
      <c r="H1778" s="1480" t="s">
        <v>2057</v>
      </c>
      <c r="I1778" s="242"/>
      <c r="J1778" s="1477"/>
      <c r="K1778" s="1477"/>
      <c r="L1778" s="1477"/>
      <c r="M1778" s="1477"/>
      <c r="N1778" s="1477"/>
      <c r="O1778" s="1477"/>
      <c r="P1778" s="1477"/>
      <c r="Q1778" s="1477"/>
      <c r="R1778" s="1480" t="s">
        <v>396</v>
      </c>
      <c r="S1778" s="1480" t="str">
        <f>IF(Q$949="Yes",16,"")</f>
        <v/>
      </c>
      <c r="T1778" s="1477"/>
      <c r="U1778" s="1477"/>
      <c r="V1778" s="1477"/>
      <c r="W1778" s="1477"/>
      <c r="X1778" s="1477"/>
      <c r="Y1778" s="1477"/>
      <c r="Z1778" s="1477"/>
    </row>
    <row r="1779" spans="1:26"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80" t="str">
        <f>IF(S1779&lt;&gt;"","C","")</f>
        <v/>
      </c>
      <c r="H1779" s="1480" t="s">
        <v>2057</v>
      </c>
      <c r="I1779" s="242"/>
      <c r="J1779" s="1477"/>
      <c r="K1779" s="1477"/>
      <c r="L1779" s="1477"/>
      <c r="M1779" s="1477"/>
      <c r="N1779" s="1477"/>
      <c r="O1779" s="1477"/>
      <c r="P1779" s="1477"/>
      <c r="Q1779" s="1477"/>
      <c r="R1779" s="1480" t="s">
        <v>396</v>
      </c>
      <c r="S1779" s="1480" t="str">
        <f>IF(Q$949="Yes",16,"")</f>
        <v/>
      </c>
      <c r="T1779" s="1477"/>
      <c r="U1779" s="1477"/>
      <c r="V1779" s="1477"/>
      <c r="W1779" s="1477"/>
      <c r="X1779" s="1477"/>
      <c r="Y1779" s="1477"/>
      <c r="Z1779" s="1477"/>
    </row>
    <row r="1780" spans="1:26"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80" t="str">
        <f>IF(S1780&lt;&gt;"","D","")</f>
        <v/>
      </c>
      <c r="H1780" s="1480" t="s">
        <v>2057</v>
      </c>
      <c r="I1780" s="242"/>
      <c r="J1780" s="1477"/>
      <c r="K1780" s="1477"/>
      <c r="L1780" s="1477"/>
      <c r="M1780" s="1477"/>
      <c r="N1780" s="1477"/>
      <c r="O1780" s="1477"/>
      <c r="P1780" s="1477"/>
      <c r="Q1780" s="1477"/>
      <c r="R1780" s="1480" t="s">
        <v>396</v>
      </c>
      <c r="S1780" s="1480" t="str">
        <f>IF(Q$949="Yes",16,"")</f>
        <v/>
      </c>
      <c r="T1780" s="1477"/>
      <c r="U1780" s="1477"/>
      <c r="V1780" s="1477"/>
      <c r="W1780" s="1477"/>
      <c r="X1780" s="1477"/>
      <c r="Y1780" s="1477"/>
      <c r="Z1780" s="1477"/>
    </row>
    <row r="1781" spans="1:26"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80" t="str">
        <f>IF(S1781&lt;&gt;"","F","")</f>
        <v/>
      </c>
      <c r="H1781" s="1480" t="s">
        <v>2057</v>
      </c>
      <c r="I1781" s="242"/>
      <c r="J1781" s="1477"/>
      <c r="K1781" s="1477"/>
      <c r="L1781" s="1477"/>
      <c r="M1781" s="1477"/>
      <c r="N1781" s="1477"/>
      <c r="O1781" s="1477"/>
      <c r="P1781" s="1477"/>
      <c r="Q1781" s="1477"/>
      <c r="R1781" s="1480" t="s">
        <v>396</v>
      </c>
      <c r="S1781" s="1480" t="str">
        <f>IF(Q$949="Yes",16,"")</f>
        <v/>
      </c>
      <c r="T1781" s="1477"/>
      <c r="U1781" s="1477"/>
      <c r="V1781" s="1477"/>
      <c r="W1781" s="1477"/>
      <c r="X1781" s="1477"/>
      <c r="Y1781" s="1477"/>
      <c r="Z1781" s="1477"/>
    </row>
    <row r="1782" spans="1:26"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80" t="str">
        <f>IF(S1782&lt;&gt;"","A","")</f>
        <v/>
      </c>
      <c r="H1782" s="1480" t="s">
        <v>2057</v>
      </c>
      <c r="I1782" s="242"/>
      <c r="J1782" s="1477"/>
      <c r="K1782" s="1477"/>
      <c r="L1782" s="1477"/>
      <c r="M1782" s="1477"/>
      <c r="N1782" s="1477"/>
      <c r="O1782" s="1477"/>
      <c r="P1782" s="1477"/>
      <c r="Q1782" s="1477"/>
      <c r="R1782" s="1480" t="s">
        <v>396</v>
      </c>
      <c r="S1782" s="1480" t="str">
        <f>IF(Q$968="Yes",17,"")</f>
        <v/>
      </c>
      <c r="T1782" s="1477"/>
      <c r="U1782" s="1477"/>
      <c r="V1782" s="1477"/>
      <c r="W1782" s="1477"/>
      <c r="X1782" s="1477"/>
      <c r="Y1782" s="1477"/>
      <c r="Z1782" s="1477"/>
    </row>
    <row r="1783" spans="1:26"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80" t="str">
        <f>IF(S1783&lt;&gt;"","B","")</f>
        <v/>
      </c>
      <c r="H1783" s="1480" t="s">
        <v>2057</v>
      </c>
      <c r="I1783" s="242"/>
      <c r="J1783" s="1477"/>
      <c r="K1783" s="1477"/>
      <c r="L1783" s="1477"/>
      <c r="M1783" s="1477"/>
      <c r="N1783" s="1477"/>
      <c r="O1783" s="1477"/>
      <c r="P1783" s="1477"/>
      <c r="Q1783" s="1477"/>
      <c r="R1783" s="1480" t="s">
        <v>396</v>
      </c>
      <c r="S1783" s="1480" t="str">
        <f>IF(Q$968="Yes",17,"")</f>
        <v/>
      </c>
      <c r="T1783" s="1477"/>
      <c r="U1783" s="1477"/>
      <c r="V1783" s="1477"/>
      <c r="W1783" s="1477"/>
      <c r="X1783" s="1477"/>
      <c r="Y1783" s="1477"/>
      <c r="Z1783" s="1477"/>
    </row>
    <row r="1784" spans="1:26"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80" t="str">
        <f>IF(S1784&lt;&gt;"","C","")</f>
        <v/>
      </c>
      <c r="H1784" s="1480" t="s">
        <v>2057</v>
      </c>
      <c r="I1784" s="242"/>
      <c r="J1784" s="1477"/>
      <c r="K1784" s="1477"/>
      <c r="L1784" s="1477"/>
      <c r="M1784" s="1477"/>
      <c r="N1784" s="1477"/>
      <c r="O1784" s="1477"/>
      <c r="P1784" s="1477"/>
      <c r="Q1784" s="1477"/>
      <c r="R1784" s="1480" t="s">
        <v>396</v>
      </c>
      <c r="S1784" s="1480" t="str">
        <f>IF(Q$968="Yes",17,"")</f>
        <v/>
      </c>
      <c r="T1784" s="1477"/>
      <c r="U1784" s="1477"/>
      <c r="V1784" s="1477"/>
      <c r="W1784" s="1477"/>
      <c r="X1784" s="1477"/>
      <c r="Y1784" s="1477"/>
      <c r="Z1784" s="1477"/>
    </row>
    <row r="1785" spans="1:26"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80" t="str">
        <f>IF(S1785&lt;&gt;"","D","")</f>
        <v/>
      </c>
      <c r="H1785" s="1480" t="s">
        <v>2057</v>
      </c>
      <c r="I1785" s="242"/>
      <c r="J1785" s="1477"/>
      <c r="K1785" s="1477"/>
      <c r="L1785" s="1477"/>
      <c r="M1785" s="1477"/>
      <c r="N1785" s="1477"/>
      <c r="O1785" s="1477"/>
      <c r="P1785" s="1477"/>
      <c r="Q1785" s="1477"/>
      <c r="R1785" s="1480" t="s">
        <v>396</v>
      </c>
      <c r="S1785" s="1480" t="str">
        <f>IF(Q$968="Yes",17,"")</f>
        <v/>
      </c>
      <c r="T1785" s="1477"/>
      <c r="U1785" s="1477"/>
      <c r="V1785" s="1477"/>
      <c r="W1785" s="1477"/>
      <c r="X1785" s="1477"/>
      <c r="Y1785" s="1477"/>
      <c r="Z1785" s="1477"/>
    </row>
    <row r="1786" spans="1:26"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80" t="str">
        <f>IF(S1786&lt;&gt;"","F","")</f>
        <v/>
      </c>
      <c r="H1786" s="1480" t="s">
        <v>2057</v>
      </c>
      <c r="I1786" s="242"/>
      <c r="J1786" s="1477"/>
      <c r="K1786" s="1477"/>
      <c r="L1786" s="1477"/>
      <c r="M1786" s="1477"/>
      <c r="N1786" s="1477"/>
      <c r="O1786" s="1477"/>
      <c r="P1786" s="1477"/>
      <c r="Q1786" s="1477"/>
      <c r="R1786" s="1480" t="s">
        <v>396</v>
      </c>
      <c r="S1786" s="1480" t="str">
        <f>IF(Q$968="Yes",17,"")</f>
        <v/>
      </c>
      <c r="T1786" s="1477"/>
      <c r="U1786" s="1477"/>
      <c r="V1786" s="1477"/>
      <c r="W1786" s="1477"/>
      <c r="X1786" s="1477"/>
      <c r="Y1786" s="1477"/>
      <c r="Z1786" s="1477"/>
    </row>
    <row r="1787" spans="1:26"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80" t="str">
        <f>IF(S1787&lt;&gt;"","A","")</f>
        <v>A</v>
      </c>
      <c r="H1787" s="1480" t="s">
        <v>2057</v>
      </c>
      <c r="I1787" s="242"/>
      <c r="J1787" s="1477"/>
      <c r="K1787" s="1477"/>
      <c r="L1787" s="1477"/>
      <c r="M1787" s="1477"/>
      <c r="N1787" s="1477"/>
      <c r="O1787" s="1477"/>
      <c r="P1787" s="1477"/>
      <c r="Q1787" s="1477"/>
      <c r="R1787" s="1480" t="s">
        <v>1715</v>
      </c>
      <c r="S1787" s="1480">
        <f>IF(Q$987="Yes",18,"")</f>
        <v>18</v>
      </c>
      <c r="T1787" s="1477"/>
      <c r="U1787" s="1477"/>
      <c r="V1787" s="1477"/>
      <c r="W1787" s="1477"/>
      <c r="X1787" s="1477"/>
      <c r="Y1787" s="1477"/>
      <c r="Z1787" s="1477"/>
    </row>
    <row r="1788" spans="1:26"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80" t="str">
        <f>IF(S1788&lt;&gt;"","B","")</f>
        <v>B</v>
      </c>
      <c r="H1788" s="1480" t="s">
        <v>2057</v>
      </c>
      <c r="I1788" s="242"/>
      <c r="J1788" s="1477"/>
      <c r="K1788" s="1477"/>
      <c r="L1788" s="1477"/>
      <c r="M1788" s="1477"/>
      <c r="N1788" s="1477"/>
      <c r="O1788" s="1477"/>
      <c r="P1788" s="1477"/>
      <c r="Q1788" s="1477"/>
      <c r="R1788" s="1480" t="s">
        <v>1715</v>
      </c>
      <c r="S1788" s="1480">
        <f>IF(Q$987="Yes",18,"")</f>
        <v>18</v>
      </c>
      <c r="T1788" s="1477"/>
      <c r="U1788" s="1477"/>
      <c r="V1788" s="1477"/>
      <c r="W1788" s="1477"/>
      <c r="X1788" s="1477"/>
      <c r="Y1788" s="1477"/>
      <c r="Z1788" s="1477"/>
    </row>
    <row r="1789" spans="1:26"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80" t="str">
        <f>IF(S1789&lt;&gt;"","C","")</f>
        <v>C</v>
      </c>
      <c r="H1789" s="1480" t="s">
        <v>2057</v>
      </c>
      <c r="I1789" s="242"/>
      <c r="J1789" s="1477"/>
      <c r="K1789" s="1477"/>
      <c r="L1789" s="1477"/>
      <c r="M1789" s="1477"/>
      <c r="N1789" s="1477"/>
      <c r="O1789" s="1477"/>
      <c r="P1789" s="1477"/>
      <c r="Q1789" s="1477"/>
      <c r="R1789" s="1480" t="s">
        <v>1715</v>
      </c>
      <c r="S1789" s="1480">
        <f>IF(Q$987="Yes",18,"")</f>
        <v>18</v>
      </c>
      <c r="T1789" s="1477"/>
      <c r="U1789" s="1477"/>
      <c r="V1789" s="1477"/>
      <c r="W1789" s="1477"/>
      <c r="X1789" s="1477"/>
      <c r="Y1789" s="1477"/>
      <c r="Z1789" s="1477"/>
    </row>
    <row r="1790" spans="1:26"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80" t="str">
        <f>IF(S1790&lt;&gt;"","D","")</f>
        <v>D</v>
      </c>
      <c r="H1790" s="1480" t="s">
        <v>2057</v>
      </c>
      <c r="I1790" s="242"/>
      <c r="J1790" s="1477"/>
      <c r="K1790" s="1477"/>
      <c r="L1790" s="1477"/>
      <c r="M1790" s="1477"/>
      <c r="N1790" s="1477"/>
      <c r="O1790" s="1477"/>
      <c r="P1790" s="1477"/>
      <c r="Q1790" s="1477"/>
      <c r="R1790" s="1480" t="s">
        <v>1715</v>
      </c>
      <c r="S1790" s="1480">
        <f>IF(Q$987="Yes",18,"")</f>
        <v>18</v>
      </c>
      <c r="T1790" s="1477"/>
      <c r="U1790" s="1477"/>
      <c r="V1790" s="1477"/>
      <c r="W1790" s="1477"/>
      <c r="X1790" s="1477"/>
      <c r="Y1790" s="1477"/>
      <c r="Z1790" s="1477"/>
    </row>
    <row r="1791" spans="1:26"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80" t="str">
        <f>IF(S1791&lt;&gt;"","F","")</f>
        <v>F</v>
      </c>
      <c r="H1791" s="1480" t="s">
        <v>2057</v>
      </c>
      <c r="I1791" s="242"/>
      <c r="J1791" s="1477"/>
      <c r="K1791" s="1477"/>
      <c r="L1791" s="1477"/>
      <c r="M1791" s="1477"/>
      <c r="N1791" s="1477"/>
      <c r="O1791" s="1477"/>
      <c r="P1791" s="1477"/>
      <c r="Q1791" s="1477"/>
      <c r="R1791" s="1480" t="s">
        <v>1715</v>
      </c>
      <c r="S1791" s="1480">
        <f>IF(Q$987="Yes",18,"")</f>
        <v>18</v>
      </c>
      <c r="T1791" s="1477"/>
      <c r="U1791" s="1477"/>
      <c r="V1791" s="1477"/>
      <c r="W1791" s="1477"/>
      <c r="X1791" s="1477"/>
      <c r="Y1791" s="1477"/>
      <c r="Z1791" s="1477"/>
    </row>
    <row r="1792" spans="1:26"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I1792" s="242"/>
      <c r="J1792" s="1477"/>
      <c r="K1792" s="1477"/>
      <c r="L1792" s="1477"/>
      <c r="M1792" s="1477"/>
      <c r="N1792" s="1477"/>
      <c r="O1792" s="1477"/>
      <c r="P1792" s="1477"/>
      <c r="Q1792" s="1477"/>
      <c r="R1792" s="1480" t="s">
        <v>1107</v>
      </c>
      <c r="S1792" s="1480">
        <f>IF(Q$1105="Yes",1,"")</f>
        <v>1</v>
      </c>
      <c r="T1792" s="1477"/>
      <c r="U1792" s="1477"/>
      <c r="V1792" s="1477"/>
      <c r="W1792" s="1477"/>
      <c r="X1792" s="1477"/>
      <c r="Y1792" s="1477"/>
      <c r="Z1792" s="1477"/>
    </row>
    <row r="1793" spans="1:26"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I1793" s="242"/>
      <c r="J1793" s="1477"/>
      <c r="K1793" s="1477"/>
      <c r="L1793" s="1477"/>
      <c r="M1793" s="1477"/>
      <c r="N1793" s="1477"/>
      <c r="O1793" s="1477"/>
      <c r="P1793" s="1477"/>
      <c r="Q1793" s="1477"/>
      <c r="R1793" s="1480" t="s">
        <v>1107</v>
      </c>
      <c r="S1793" s="1480">
        <f>IF(Q$1105="Yes",1,"")</f>
        <v>1</v>
      </c>
      <c r="T1793" s="1477"/>
      <c r="U1793" s="1477"/>
      <c r="V1793" s="1477"/>
      <c r="W1793" s="1477"/>
      <c r="X1793" s="1477"/>
      <c r="Y1793" s="1477"/>
      <c r="Z1793" s="1477"/>
    </row>
    <row r="1794" spans="1:26" x14ac:dyDescent="0.25">
      <c r="A1794" s="929" t="s">
        <v>1500</v>
      </c>
      <c r="B1794" s="906" t="str">
        <f ca="1">_xlfn.CONCAT(IFERROR(SUBSTITUTE(ADDRESS(1,MATCH(A1794,INDIRECT("'"&amp;E1794&amp;"'"&amp;"!A" &amp; $O$1105 + 5 &amp; ":Z" &amp; $O$1105 + 5),0),4),1,""),""),$O$1105+ 6)</f>
        <v>J441</v>
      </c>
      <c r="C1794" s="906" t="str">
        <f t="shared" ref="C1794:C1796" ca="1" si="258">IFERROR(SUBSTITUTE(ADDRESS(1,MATCH(A1794,INDIRECT("'"&amp;E1794&amp;"'"&amp;"!A" &amp; $O$1105 + 5 &amp; ":Z" &amp; $O$1105 + 5),0),4),1,""),"")</f>
        <v>J</v>
      </c>
      <c r="D1794" s="906" t="s">
        <v>1372</v>
      </c>
      <c r="E1794" s="906" t="s">
        <v>1535</v>
      </c>
      <c r="F1794" s="1192" t="s">
        <v>1500</v>
      </c>
      <c r="G1794" s="906" t="str">
        <f>IF(S1794&lt;&gt;"","C","")</f>
        <v>C</v>
      </c>
      <c r="H1794" s="906" t="s">
        <v>2056</v>
      </c>
      <c r="I1794" s="242"/>
      <c r="J1794" s="1477"/>
      <c r="K1794" s="1477"/>
      <c r="L1794" s="1477"/>
      <c r="M1794" s="1477"/>
      <c r="N1794" s="1477"/>
      <c r="O1794" s="1477"/>
      <c r="P1794" s="1477"/>
      <c r="Q1794" s="1477"/>
      <c r="R1794" s="1480" t="s">
        <v>1107</v>
      </c>
      <c r="S1794" s="1480">
        <f>IF(Q$1105="Yes",1,"")</f>
        <v>1</v>
      </c>
      <c r="T1794" s="1477"/>
      <c r="U1794" s="1477"/>
      <c r="V1794" s="1477"/>
      <c r="W1794" s="1477"/>
      <c r="X1794" s="1477"/>
      <c r="Y1794" s="1477"/>
      <c r="Z1794" s="1477"/>
    </row>
    <row r="1795" spans="1:26" x14ac:dyDescent="0.25">
      <c r="A1795" s="929" t="s">
        <v>730</v>
      </c>
      <c r="B1795" s="906" t="str">
        <f ca="1">_xlfn.CONCAT(IFERROR(SUBSTITUTE(ADDRESS(1,MATCH(A1795,INDIRECT("'"&amp;E1795&amp;"'"&amp;"!A" &amp; $O$1105 + 5 &amp; ":Z" &amp; $O$1105 + 5),0),4),1,""),""),$O$1105+ 6)</f>
        <v>L441</v>
      </c>
      <c r="C1795" s="906" t="str">
        <f t="shared" ca="1" si="258"/>
        <v>L</v>
      </c>
      <c r="D1795" s="906" t="s">
        <v>1372</v>
      </c>
      <c r="E1795" s="906" t="s">
        <v>1535</v>
      </c>
      <c r="F1795" s="1192" t="s">
        <v>730</v>
      </c>
      <c r="G1795" s="906" t="str">
        <f>IF(S1795&lt;&gt;"","E","")</f>
        <v>E</v>
      </c>
      <c r="H1795" s="906" t="s">
        <v>2056</v>
      </c>
      <c r="I1795" s="242"/>
      <c r="J1795" s="1477"/>
      <c r="K1795" s="1477"/>
      <c r="L1795" s="1477"/>
      <c r="M1795" s="1477"/>
      <c r="N1795" s="1477"/>
      <c r="O1795" s="1477"/>
      <c r="P1795" s="1477"/>
      <c r="Q1795" s="1477"/>
      <c r="R1795" s="1480" t="s">
        <v>1107</v>
      </c>
      <c r="S1795" s="1480">
        <f>IF(Q$1105="Yes",1,"")</f>
        <v>1</v>
      </c>
      <c r="T1795" s="1477"/>
      <c r="U1795" s="1477"/>
      <c r="V1795" s="1477"/>
      <c r="W1795" s="1477"/>
      <c r="X1795" s="1477"/>
      <c r="Y1795" s="1477"/>
      <c r="Z1795" s="1477"/>
    </row>
    <row r="1796" spans="1:26" x14ac:dyDescent="0.25">
      <c r="A1796" s="929" t="s">
        <v>1501</v>
      </c>
      <c r="B1796" s="906" t="str">
        <f ca="1">_xlfn.CONCAT(IFERROR(SUBSTITUTE(ADDRESS(1,MATCH(A1796,INDIRECT("'"&amp;E1796&amp;"'"&amp;"!A" &amp; $O$1105 + 5 &amp; ":Z" &amp; $O$1105 + 5),0),4),1,""),""),$O$1105+ 6)</f>
        <v>N441</v>
      </c>
      <c r="C1796" s="906" t="str">
        <f t="shared" ca="1" si="258"/>
        <v>N</v>
      </c>
      <c r="D1796" s="906" t="s">
        <v>1372</v>
      </c>
      <c r="E1796" s="906" t="s">
        <v>1535</v>
      </c>
      <c r="F1796" s="1192" t="s">
        <v>1501</v>
      </c>
      <c r="G1796" s="906" t="str">
        <f>IF(S1796&lt;&gt;"","F","")</f>
        <v>F</v>
      </c>
      <c r="H1796" s="906" t="s">
        <v>2056</v>
      </c>
      <c r="I1796" s="242"/>
      <c r="J1796" s="1477"/>
      <c r="K1796" s="1477"/>
      <c r="L1796" s="1477"/>
      <c r="M1796" s="1477"/>
      <c r="N1796" s="1477"/>
      <c r="O1796" s="1477"/>
      <c r="P1796" s="1477"/>
      <c r="Q1796" s="1477"/>
      <c r="R1796" s="1480" t="s">
        <v>1107</v>
      </c>
      <c r="S1796" s="1480">
        <f>IF(Q$1105="Yes",1,"")</f>
        <v>1</v>
      </c>
      <c r="T1796" s="1477"/>
      <c r="U1796" s="1477"/>
      <c r="V1796" s="1477"/>
      <c r="W1796" s="1477"/>
      <c r="X1796" s="1477"/>
      <c r="Y1796" s="1477"/>
      <c r="Z1796" s="1477"/>
    </row>
    <row r="1797" spans="1:26"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I1797" s="242"/>
      <c r="J1797" s="1477"/>
      <c r="K1797" s="1477"/>
      <c r="L1797" s="1477"/>
      <c r="M1797" s="1477"/>
      <c r="N1797" s="1477"/>
      <c r="O1797" s="1477"/>
      <c r="P1797" s="1477"/>
      <c r="Q1797" s="1477"/>
      <c r="R1797" s="1480" t="s">
        <v>1107</v>
      </c>
      <c r="S1797" s="1480" t="str">
        <f>IF(Q$1134="Yes",2,"")</f>
        <v/>
      </c>
      <c r="T1797" s="1477"/>
      <c r="U1797" s="1477"/>
      <c r="V1797" s="1477"/>
      <c r="W1797" s="1477"/>
      <c r="X1797" s="1477"/>
      <c r="Y1797" s="1477"/>
      <c r="Z1797" s="1477"/>
    </row>
    <row r="1798" spans="1:26"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I1798" s="242"/>
      <c r="J1798" s="1477"/>
      <c r="K1798" s="1477"/>
      <c r="L1798" s="1477"/>
      <c r="M1798" s="1477"/>
      <c r="N1798" s="1477"/>
      <c r="O1798" s="1477"/>
      <c r="P1798" s="1477"/>
      <c r="Q1798" s="1477"/>
      <c r="R1798" s="1480" t="s">
        <v>1107</v>
      </c>
      <c r="S1798" s="1480" t="str">
        <f>IF(Q$1134="Yes",2,"")</f>
        <v/>
      </c>
      <c r="T1798" s="1477"/>
      <c r="U1798" s="1477"/>
      <c r="V1798" s="1477"/>
      <c r="W1798" s="1477"/>
      <c r="X1798" s="1477"/>
      <c r="Y1798" s="1477"/>
      <c r="Z1798" s="1477"/>
    </row>
    <row r="1799" spans="1:26" x14ac:dyDescent="0.25">
      <c r="A1799" s="932" t="s">
        <v>1500</v>
      </c>
      <c r="B1799" s="906" t="str">
        <f ca="1">_xlfn.CONCAT(IFERROR(SUBSTITUTE(ADDRESS(1,MATCH(A1799,INDIRECT("'"&amp;E1799&amp;"'"&amp;"!A" &amp; $O$1134 + 5 &amp; ":Z" &amp; $O$1134 + 5),0),4),1,""),""),$O$1134+ 6)</f>
        <v>J455</v>
      </c>
      <c r="C1799" s="906" t="str">
        <f t="shared" ref="C1799:C1801" ca="1" si="259">IFERROR(SUBSTITUTE(ADDRESS(1,MATCH(A1799,INDIRECT("'"&amp;E1799&amp;"'"&amp;"!A" &amp; $O$1134 + 5 &amp; ":Z" &amp; $O$1134 + 5),0),4),1,""),"")</f>
        <v>J</v>
      </c>
      <c r="D1799" s="906" t="s">
        <v>1372</v>
      </c>
      <c r="E1799" s="906" t="s">
        <v>1535</v>
      </c>
      <c r="F1799" s="1192" t="s">
        <v>1500</v>
      </c>
      <c r="G1799" s="906" t="str">
        <f>IF(S1799&lt;&gt;"","C","")</f>
        <v/>
      </c>
      <c r="H1799" s="906" t="s">
        <v>2056</v>
      </c>
      <c r="I1799" s="242"/>
      <c r="J1799" s="1477"/>
      <c r="K1799" s="1477"/>
      <c r="L1799" s="1477"/>
      <c r="M1799" s="1477"/>
      <c r="N1799" s="1477"/>
      <c r="O1799" s="1477"/>
      <c r="P1799" s="1477"/>
      <c r="Q1799" s="1477"/>
      <c r="R1799" s="1480" t="s">
        <v>1107</v>
      </c>
      <c r="S1799" s="1480" t="str">
        <f>IF(Q$1134="Yes",2,"")</f>
        <v/>
      </c>
      <c r="T1799" s="1477"/>
      <c r="U1799" s="1477"/>
      <c r="V1799" s="1477"/>
      <c r="W1799" s="1477"/>
      <c r="X1799" s="1477"/>
      <c r="Y1799" s="1477"/>
      <c r="Z1799" s="1477"/>
    </row>
    <row r="1800" spans="1:26" x14ac:dyDescent="0.25">
      <c r="A1800" s="932" t="s">
        <v>730</v>
      </c>
      <c r="B1800" s="906" t="str">
        <f ca="1">_xlfn.CONCAT(IFERROR(SUBSTITUTE(ADDRESS(1,MATCH(A1800,INDIRECT("'"&amp;E1800&amp;"'"&amp;"!A" &amp; $O$1134 + 5 &amp; ":Z" &amp; $O$1134 + 5),0),4),1,""),""),$O$1134+ 6)</f>
        <v>L455</v>
      </c>
      <c r="C1800" s="906" t="str">
        <f t="shared" ca="1" si="259"/>
        <v>L</v>
      </c>
      <c r="D1800" s="906" t="s">
        <v>1372</v>
      </c>
      <c r="E1800" s="906" t="s">
        <v>1535</v>
      </c>
      <c r="F1800" s="1192" t="s">
        <v>730</v>
      </c>
      <c r="G1800" s="906" t="str">
        <f>IF(S1800&lt;&gt;"","E","")</f>
        <v/>
      </c>
      <c r="H1800" s="906" t="s">
        <v>2056</v>
      </c>
      <c r="I1800" s="242"/>
      <c r="J1800" s="1477"/>
      <c r="K1800" s="1477"/>
      <c r="L1800" s="1477"/>
      <c r="M1800" s="1477"/>
      <c r="N1800" s="1477"/>
      <c r="O1800" s="1477"/>
      <c r="P1800" s="1477"/>
      <c r="Q1800" s="1477"/>
      <c r="R1800" s="1480" t="s">
        <v>1107</v>
      </c>
      <c r="S1800" s="1480" t="str">
        <f>IF(Q$1134="Yes",2,"")</f>
        <v/>
      </c>
      <c r="T1800" s="1477"/>
      <c r="U1800" s="1477"/>
      <c r="V1800" s="1477"/>
      <c r="W1800" s="1477"/>
      <c r="X1800" s="1477"/>
      <c r="Y1800" s="1477"/>
      <c r="Z1800" s="1477"/>
    </row>
    <row r="1801" spans="1:26" x14ac:dyDescent="0.25">
      <c r="A1801" s="932" t="s">
        <v>1501</v>
      </c>
      <c r="B1801" s="906" t="str">
        <f ca="1">_xlfn.CONCAT(IFERROR(SUBSTITUTE(ADDRESS(1,MATCH(A1801,INDIRECT("'"&amp;E1801&amp;"'"&amp;"!A" &amp; $O$1134 + 5 &amp; ":Z" &amp; $O$1134 + 5),0),4),1,""),""),$O$1134+ 6)</f>
        <v>N455</v>
      </c>
      <c r="C1801" s="906" t="str">
        <f t="shared" ca="1" si="259"/>
        <v>N</v>
      </c>
      <c r="D1801" s="906" t="s">
        <v>1372</v>
      </c>
      <c r="E1801" s="906" t="s">
        <v>1535</v>
      </c>
      <c r="F1801" s="1192" t="s">
        <v>1501</v>
      </c>
      <c r="G1801" s="906" t="str">
        <f>IF(S1801&lt;&gt;"","F","")</f>
        <v/>
      </c>
      <c r="H1801" s="906" t="s">
        <v>2056</v>
      </c>
      <c r="I1801" s="242"/>
      <c r="J1801" s="1477"/>
      <c r="K1801" s="1477"/>
      <c r="L1801" s="1477"/>
      <c r="M1801" s="1477"/>
      <c r="N1801" s="1477"/>
      <c r="O1801" s="1477"/>
      <c r="P1801" s="1477"/>
      <c r="Q1801" s="1477"/>
      <c r="R1801" s="1480" t="s">
        <v>1107</v>
      </c>
      <c r="S1801" s="1480" t="str">
        <f>IF(Q$1134="Yes",2,"")</f>
        <v/>
      </c>
      <c r="T1801" s="1477"/>
      <c r="U1801" s="1477"/>
      <c r="V1801" s="1477"/>
      <c r="W1801" s="1477"/>
      <c r="X1801" s="1477"/>
      <c r="Y1801" s="1477"/>
      <c r="Z1801" s="1477"/>
    </row>
    <row r="1802" spans="1:26"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I1802" s="242"/>
      <c r="J1802" s="1477"/>
      <c r="K1802" s="1477"/>
      <c r="L1802" s="1477"/>
      <c r="M1802" s="1477"/>
      <c r="N1802" s="1477"/>
      <c r="O1802" s="1477"/>
      <c r="P1802" s="1477"/>
      <c r="Q1802" s="1477"/>
      <c r="R1802" s="1480" t="s">
        <v>1107</v>
      </c>
      <c r="S1802" s="1480" t="str">
        <f>IF(Q$1163="Yes",3,"")</f>
        <v/>
      </c>
      <c r="T1802" s="1477"/>
      <c r="U1802" s="1477"/>
      <c r="V1802" s="1477"/>
      <c r="W1802" s="1477"/>
      <c r="X1802" s="1477"/>
      <c r="Y1802" s="1477"/>
      <c r="Z1802" s="1477"/>
    </row>
    <row r="1803" spans="1:26"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I1803" s="242"/>
      <c r="J1803" s="1477"/>
      <c r="K1803" s="1477"/>
      <c r="L1803" s="1477"/>
      <c r="M1803" s="1477"/>
      <c r="N1803" s="1477"/>
      <c r="O1803" s="1477"/>
      <c r="P1803" s="1477"/>
      <c r="Q1803" s="1477"/>
      <c r="R1803" s="1480" t="s">
        <v>1107</v>
      </c>
      <c r="S1803" s="1480" t="str">
        <f>IF(Q$1163="Yes",3,"")</f>
        <v/>
      </c>
      <c r="T1803" s="1477"/>
      <c r="U1803" s="1477"/>
      <c r="V1803" s="1477"/>
      <c r="W1803" s="1477"/>
      <c r="X1803" s="1477"/>
      <c r="Y1803" s="1477"/>
      <c r="Z1803" s="1477"/>
    </row>
    <row r="1804" spans="1:26" x14ac:dyDescent="0.25">
      <c r="A1804" s="929" t="s">
        <v>1500</v>
      </c>
      <c r="B1804" s="906" t="str">
        <f ca="1">_xlfn.CONCAT(IFERROR(SUBSTITUTE(ADDRESS(1,MATCH(A1804,INDIRECT("'"&amp;E1804&amp;"'"&amp;"!A" &amp; $O$1163 + 5 &amp; ":Z" &amp; $O$1163 + 5),0),4),1,""),""),$O$1163+ 6)</f>
        <v>J469</v>
      </c>
      <c r="C1804" s="906" t="str">
        <f t="shared" ref="C1804:C1806" ca="1" si="260">IFERROR(SUBSTITUTE(ADDRESS(1,MATCH(A1804,INDIRECT("'"&amp;E1804&amp;"'"&amp;"!A" &amp; $O$1163 + 5 &amp; ":Z" &amp; $O$1163 + 5),0),4),1,""),"")</f>
        <v>J</v>
      </c>
      <c r="D1804" s="906" t="s">
        <v>1372</v>
      </c>
      <c r="E1804" s="906" t="s">
        <v>1535</v>
      </c>
      <c r="F1804" s="1192" t="s">
        <v>1500</v>
      </c>
      <c r="G1804" s="906" t="str">
        <f>IF(S1804&lt;&gt;"","C","")</f>
        <v/>
      </c>
      <c r="H1804" s="906" t="s">
        <v>2056</v>
      </c>
      <c r="I1804" s="242"/>
      <c r="J1804" s="1477"/>
      <c r="K1804" s="1477"/>
      <c r="L1804" s="1477"/>
      <c r="M1804" s="1477"/>
      <c r="N1804" s="1477"/>
      <c r="O1804" s="1477"/>
      <c r="P1804" s="1477"/>
      <c r="Q1804" s="1477"/>
      <c r="R1804" s="1480" t="s">
        <v>1107</v>
      </c>
      <c r="S1804" s="1480" t="str">
        <f>IF(Q$1163="Yes",3,"")</f>
        <v/>
      </c>
      <c r="T1804" s="1477"/>
      <c r="U1804" s="1477"/>
      <c r="V1804" s="1477"/>
      <c r="W1804" s="1477"/>
      <c r="X1804" s="1477"/>
      <c r="Y1804" s="1477"/>
      <c r="Z1804" s="1477"/>
    </row>
    <row r="1805" spans="1:26" x14ac:dyDescent="0.25">
      <c r="A1805" s="929" t="s">
        <v>730</v>
      </c>
      <c r="B1805" s="906" t="str">
        <f ca="1">_xlfn.CONCAT(IFERROR(SUBSTITUTE(ADDRESS(1,MATCH(A1805,INDIRECT("'"&amp;E1805&amp;"'"&amp;"!A" &amp; $O$1163 + 5 &amp; ":Z" &amp; $O$1163 + 5),0),4),1,""),""),$O$1163+ 6)</f>
        <v>L469</v>
      </c>
      <c r="C1805" s="906" t="str">
        <f t="shared" ca="1" si="260"/>
        <v>L</v>
      </c>
      <c r="D1805" s="906" t="s">
        <v>1372</v>
      </c>
      <c r="E1805" s="906" t="s">
        <v>1535</v>
      </c>
      <c r="F1805" s="1192" t="s">
        <v>730</v>
      </c>
      <c r="G1805" s="906" t="str">
        <f>IF(S1805&lt;&gt;"","E","")</f>
        <v/>
      </c>
      <c r="H1805" s="906" t="s">
        <v>2056</v>
      </c>
      <c r="I1805" s="242"/>
      <c r="J1805" s="1477"/>
      <c r="K1805" s="1477"/>
      <c r="L1805" s="1477"/>
      <c r="M1805" s="1477"/>
      <c r="N1805" s="1477"/>
      <c r="O1805" s="1477"/>
      <c r="P1805" s="1477"/>
      <c r="Q1805" s="1477"/>
      <c r="R1805" s="1480" t="s">
        <v>1107</v>
      </c>
      <c r="S1805" s="1480" t="str">
        <f>IF(Q$1163="Yes",3,"")</f>
        <v/>
      </c>
      <c r="T1805" s="1477"/>
      <c r="U1805" s="1477"/>
      <c r="V1805" s="1477"/>
      <c r="W1805" s="1477"/>
      <c r="X1805" s="1477"/>
      <c r="Y1805" s="1477"/>
      <c r="Z1805" s="1477"/>
    </row>
    <row r="1806" spans="1:26" x14ac:dyDescent="0.25">
      <c r="A1806" s="929" t="s">
        <v>1640</v>
      </c>
      <c r="B1806" s="906" t="str">
        <f ca="1">_xlfn.CONCAT(IFERROR(SUBSTITUTE(ADDRESS(1,MATCH(A1806,INDIRECT("'"&amp;E1806&amp;"'"&amp;"!A" &amp; $O$1163 + 5 &amp; ":Z" &amp; $O$1163 + 5),0),4),1,""),""),$O$1163+ 6)</f>
        <v>N469</v>
      </c>
      <c r="C1806" s="906" t="str">
        <f t="shared" ca="1" si="260"/>
        <v>N</v>
      </c>
      <c r="D1806" s="906" t="s">
        <v>1372</v>
      </c>
      <c r="E1806" s="906" t="s">
        <v>1535</v>
      </c>
      <c r="F1806" s="1192" t="s">
        <v>1640</v>
      </c>
      <c r="G1806" s="906" t="str">
        <f>IF(S1806&lt;&gt;"","D","")</f>
        <v/>
      </c>
      <c r="H1806" s="906" t="s">
        <v>2056</v>
      </c>
      <c r="I1806" s="242"/>
      <c r="J1806" s="1477"/>
      <c r="K1806" s="1477"/>
      <c r="L1806" s="1477"/>
      <c r="M1806" s="1477"/>
      <c r="N1806" s="1477"/>
      <c r="O1806" s="1477"/>
      <c r="P1806" s="1477"/>
      <c r="Q1806" s="1477"/>
      <c r="R1806" s="1480" t="s">
        <v>1107</v>
      </c>
      <c r="S1806" s="1480" t="str">
        <f>IF(Q$1163="Yes",3,"")</f>
        <v/>
      </c>
      <c r="T1806" s="1477"/>
      <c r="U1806" s="1477"/>
      <c r="V1806" s="1477"/>
      <c r="W1806" s="1477"/>
      <c r="X1806" s="1477"/>
      <c r="Y1806" s="1477"/>
      <c r="Z1806" s="1477"/>
    </row>
    <row r="1807" spans="1:26"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I1807" s="242"/>
      <c r="J1807" s="1477"/>
      <c r="K1807" s="1477"/>
      <c r="L1807" s="1477"/>
      <c r="M1807" s="1477"/>
      <c r="N1807" s="1477"/>
      <c r="O1807" s="1477"/>
      <c r="P1807" s="1477"/>
      <c r="Q1807" s="1477"/>
      <c r="R1807" s="1480" t="s">
        <v>1107</v>
      </c>
      <c r="S1807" s="1480" t="str">
        <f>IF(Q$1188="Yes",4,"")</f>
        <v/>
      </c>
      <c r="T1807" s="1477"/>
      <c r="U1807" s="1477"/>
      <c r="V1807" s="1477"/>
      <c r="W1807" s="1477"/>
      <c r="X1807" s="1477"/>
      <c r="Y1807" s="1477"/>
      <c r="Z1807" s="1477"/>
    </row>
    <row r="1808" spans="1:26"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I1808" s="242"/>
      <c r="J1808" s="1477"/>
      <c r="K1808" s="1477"/>
      <c r="L1808" s="1477"/>
      <c r="M1808" s="1477"/>
      <c r="N1808" s="1477"/>
      <c r="O1808" s="1477"/>
      <c r="P1808" s="1477"/>
      <c r="Q1808" s="1477"/>
      <c r="R1808" s="1480" t="s">
        <v>1107</v>
      </c>
      <c r="S1808" s="1480" t="str">
        <f>IF(Q$1188="Yes",4,"")</f>
        <v/>
      </c>
      <c r="T1808" s="1477"/>
      <c r="U1808" s="1477"/>
      <c r="V1808" s="1477"/>
      <c r="W1808" s="1477"/>
      <c r="X1808" s="1477"/>
      <c r="Y1808" s="1477"/>
      <c r="Z1808" s="1477"/>
    </row>
    <row r="1809" spans="1:26" x14ac:dyDescent="0.25">
      <c r="A1809" s="932" t="s">
        <v>1500</v>
      </c>
      <c r="B1809" s="906" t="str">
        <f ca="1">_xlfn.CONCAT(IFERROR(SUBSTITUTE(ADDRESS(1,MATCH(A1809,INDIRECT("'"&amp;E1809&amp;"'"&amp;"!A" &amp; $O$1188 + 5 &amp; ":Z" &amp; $O$1188 + 5),0),4),1,""),""),$O$1188+ 6)</f>
        <v>J483</v>
      </c>
      <c r="C1809" s="906" t="str">
        <f t="shared" ref="C1809:C1811" ca="1" si="261">IFERROR(SUBSTITUTE(ADDRESS(1,MATCH(A1809,INDIRECT("'"&amp;E1809&amp;"'"&amp;"!A" &amp; $O$1188 + 5 &amp; ":Z" &amp; $O$1188 + 5),0),4),1,""),"")</f>
        <v>J</v>
      </c>
      <c r="D1809" s="906" t="s">
        <v>1372</v>
      </c>
      <c r="E1809" s="906" t="s">
        <v>1535</v>
      </c>
      <c r="F1809" s="1192" t="s">
        <v>1500</v>
      </c>
      <c r="G1809" s="906" t="str">
        <f>IF(S1809&lt;&gt;"","C","")</f>
        <v/>
      </c>
      <c r="H1809" s="906" t="s">
        <v>2056</v>
      </c>
      <c r="I1809" s="242"/>
      <c r="J1809" s="1477"/>
      <c r="K1809" s="1477"/>
      <c r="L1809" s="1477"/>
      <c r="M1809" s="1477"/>
      <c r="N1809" s="1477"/>
      <c r="O1809" s="1477"/>
      <c r="P1809" s="1477"/>
      <c r="Q1809" s="1477"/>
      <c r="R1809" s="1480" t="s">
        <v>1107</v>
      </c>
      <c r="S1809" s="1480" t="str">
        <f>IF(Q$1188="Yes",4,"")</f>
        <v/>
      </c>
      <c r="T1809" s="1477"/>
      <c r="U1809" s="1477"/>
      <c r="V1809" s="1477"/>
      <c r="W1809" s="1477"/>
      <c r="X1809" s="1477"/>
      <c r="Y1809" s="1477"/>
      <c r="Z1809" s="1477"/>
    </row>
    <row r="1810" spans="1:26" x14ac:dyDescent="0.25">
      <c r="A1810" s="932" t="s">
        <v>730</v>
      </c>
      <c r="B1810" s="906" t="str">
        <f ca="1">_xlfn.CONCAT(IFERROR(SUBSTITUTE(ADDRESS(1,MATCH(A1810,INDIRECT("'"&amp;E1810&amp;"'"&amp;"!A" &amp; $O$1188 + 5 &amp; ":Z" &amp; $O$1188 + 5),0),4),1,""),""),$O$1188+ 6)</f>
        <v>L483</v>
      </c>
      <c r="C1810" s="906" t="str">
        <f t="shared" ca="1" si="261"/>
        <v>L</v>
      </c>
      <c r="D1810" s="906" t="s">
        <v>1372</v>
      </c>
      <c r="E1810" s="906" t="s">
        <v>1535</v>
      </c>
      <c r="F1810" s="1192" t="s">
        <v>730</v>
      </c>
      <c r="G1810" s="906" t="str">
        <f>IF(S1810&lt;&gt;"","E","")</f>
        <v/>
      </c>
      <c r="H1810" s="906" t="s">
        <v>2056</v>
      </c>
      <c r="I1810" s="242"/>
      <c r="J1810" s="1477"/>
      <c r="K1810" s="1477"/>
      <c r="L1810" s="1477"/>
      <c r="M1810" s="1477"/>
      <c r="N1810" s="1477"/>
      <c r="O1810" s="1477"/>
      <c r="P1810" s="1477"/>
      <c r="Q1810" s="1477"/>
      <c r="R1810" s="1480" t="s">
        <v>1107</v>
      </c>
      <c r="S1810" s="1480" t="str">
        <f>IF(Q$1188="Yes",4,"")</f>
        <v/>
      </c>
      <c r="T1810" s="1477"/>
      <c r="U1810" s="1477"/>
      <c r="V1810" s="1477"/>
      <c r="W1810" s="1477"/>
      <c r="X1810" s="1477"/>
      <c r="Y1810" s="1477"/>
      <c r="Z1810" s="1477"/>
    </row>
    <row r="1811" spans="1:26" x14ac:dyDescent="0.25">
      <c r="A1811" s="932" t="s">
        <v>1640</v>
      </c>
      <c r="B1811" s="906" t="str">
        <f ca="1">_xlfn.CONCAT(IFERROR(SUBSTITUTE(ADDRESS(1,MATCH(A1811,INDIRECT("'"&amp;E1811&amp;"'"&amp;"!A" &amp; $O$1188 + 5 &amp; ":Z" &amp; $O$1188 + 5),0),4),1,""),""),$O$1188+ 6)</f>
        <v>N483</v>
      </c>
      <c r="C1811" s="906" t="str">
        <f t="shared" ca="1" si="261"/>
        <v>N</v>
      </c>
      <c r="D1811" s="906" t="s">
        <v>1372</v>
      </c>
      <c r="E1811" s="906" t="s">
        <v>1535</v>
      </c>
      <c r="F1811" s="1192" t="s">
        <v>1640</v>
      </c>
      <c r="G1811" s="906" t="str">
        <f>IF(S1811&lt;&gt;"","D","")</f>
        <v/>
      </c>
      <c r="H1811" s="906" t="s">
        <v>2056</v>
      </c>
      <c r="I1811" s="242"/>
      <c r="J1811" s="1477"/>
      <c r="K1811" s="1477"/>
      <c r="L1811" s="1477"/>
      <c r="M1811" s="1477"/>
      <c r="N1811" s="1477"/>
      <c r="O1811" s="1477"/>
      <c r="P1811" s="1477"/>
      <c r="Q1811" s="1477"/>
      <c r="R1811" s="1480" t="s">
        <v>1107</v>
      </c>
      <c r="S1811" s="1480" t="str">
        <f>IF(Q$1188="Yes",4,"")</f>
        <v/>
      </c>
      <c r="T1811" s="1477"/>
      <c r="U1811" s="1477"/>
      <c r="V1811" s="1477"/>
      <c r="W1811" s="1477"/>
      <c r="X1811" s="1477"/>
      <c r="Y1811" s="1477"/>
      <c r="Z1811" s="1477"/>
    </row>
    <row r="1812" spans="1:26"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80" t="s">
        <v>2064</v>
      </c>
      <c r="G1812" s="1480" t="str">
        <f>IF(T1812&lt;&gt;"","E","")</f>
        <v/>
      </c>
      <c r="H1812" s="1480" t="s">
        <v>2063</v>
      </c>
      <c r="I1812" s="1427"/>
      <c r="J1812" s="1480"/>
      <c r="K1812" s="1480"/>
      <c r="L1812" s="906" t="s">
        <v>1396</v>
      </c>
      <c r="M1812" s="1480">
        <v>1205</v>
      </c>
      <c r="N1812" s="1480"/>
      <c r="O1812" s="1477"/>
      <c r="P1812" s="1477"/>
      <c r="Q1812" s="1477"/>
      <c r="R1812" s="1480" t="s">
        <v>483</v>
      </c>
      <c r="S1812" s="1477"/>
      <c r="T1812" s="1480" t="str">
        <f t="shared" ref="T1812:T1813" si="262">IF(Q$1005="Yes",23,"")</f>
        <v/>
      </c>
      <c r="U1812" s="1477"/>
      <c r="V1812" s="1477"/>
      <c r="W1812" s="1477"/>
      <c r="X1812" s="1477"/>
      <c r="Y1812" s="1477"/>
      <c r="Z1812" s="1477"/>
    </row>
    <row r="1813" spans="1:26"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80" t="s">
        <v>2068</v>
      </c>
      <c r="G1813" s="1480" t="str">
        <f>IF(T1813&lt;&gt;"","G","")</f>
        <v/>
      </c>
      <c r="H1813" s="1480" t="s">
        <v>2063</v>
      </c>
      <c r="I1813" s="1427"/>
      <c r="J1813" s="1480"/>
      <c r="K1813" s="1480"/>
      <c r="L1813" s="906"/>
      <c r="M1813" s="1480"/>
      <c r="N1813" s="1480"/>
      <c r="O1813" s="1477"/>
      <c r="P1813" s="1477"/>
      <c r="Q1813" s="1477"/>
      <c r="R1813" s="1480" t="s">
        <v>483</v>
      </c>
      <c r="S1813" s="1477"/>
      <c r="T1813" s="1480" t="str">
        <f t="shared" si="262"/>
        <v/>
      </c>
      <c r="U1813" s="1477"/>
      <c r="V1813" s="1477"/>
      <c r="W1813" s="1477"/>
      <c r="X1813" s="1477"/>
      <c r="Y1813" s="1477"/>
      <c r="Z1813" s="1477"/>
    </row>
    <row r="1814" spans="1:26"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80" t="s">
        <v>2064</v>
      </c>
      <c r="G1814" s="1480" t="str">
        <f>IF(T1814&lt;&gt;"","E","")</f>
        <v/>
      </c>
      <c r="H1814" s="1480" t="s">
        <v>2063</v>
      </c>
      <c r="I1814" s="1427"/>
      <c r="J1814" s="1480"/>
      <c r="K1814" s="1480"/>
      <c r="L1814" s="906"/>
      <c r="M1814" s="1480"/>
      <c r="N1814" s="1480"/>
      <c r="O1814" s="1477"/>
      <c r="P1814" s="1477"/>
      <c r="Q1814" s="1477"/>
      <c r="R1814" s="1480" t="s">
        <v>483</v>
      </c>
      <c r="S1814" s="1477"/>
      <c r="T1814" s="1480" t="str">
        <f t="shared" ref="T1814:T1815" si="263">IF(Q$1016="Yes",24,"")</f>
        <v/>
      </c>
      <c r="U1814" s="1477"/>
      <c r="V1814" s="1477"/>
      <c r="W1814" s="1477"/>
      <c r="X1814" s="1477"/>
      <c r="Y1814" s="1477"/>
      <c r="Z1814" s="1477"/>
    </row>
    <row r="1815" spans="1:26"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80" t="s">
        <v>2068</v>
      </c>
      <c r="G1815" s="1480" t="str">
        <f>IF(T1815&lt;&gt;"","G","")</f>
        <v/>
      </c>
      <c r="H1815" s="1480" t="s">
        <v>2063</v>
      </c>
      <c r="I1815" s="1427"/>
      <c r="J1815" s="1480"/>
      <c r="K1815" s="1480"/>
      <c r="L1815" s="906"/>
      <c r="M1815" s="1480"/>
      <c r="N1815" s="1480"/>
      <c r="O1815" s="1477"/>
      <c r="P1815" s="1477"/>
      <c r="Q1815" s="1477"/>
      <c r="R1815" s="1480" t="s">
        <v>483</v>
      </c>
      <c r="S1815" s="1477"/>
      <c r="T1815" s="1480" t="str">
        <f t="shared" si="263"/>
        <v/>
      </c>
      <c r="U1815" s="1477"/>
      <c r="V1815" s="1477"/>
      <c r="W1815" s="1477"/>
      <c r="X1815" s="1477"/>
      <c r="Y1815" s="1477"/>
      <c r="Z1815" s="1477"/>
    </row>
    <row r="1816" spans="1:26"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80" t="s">
        <v>2064</v>
      </c>
      <c r="G1816" s="1480" t="str">
        <f>IF(T1816&lt;&gt;"","E","")</f>
        <v>E</v>
      </c>
      <c r="H1816" s="1480" t="s">
        <v>2063</v>
      </c>
      <c r="I1816" s="1427"/>
      <c r="J1816" s="1480"/>
      <c r="K1816" s="1480"/>
      <c r="L1816" s="906"/>
      <c r="M1816" s="1480"/>
      <c r="N1816" s="1480"/>
      <c r="O1816" s="1477"/>
      <c r="P1816" s="1477"/>
      <c r="Q1816" s="1477"/>
      <c r="R1816" s="1480" t="s">
        <v>483</v>
      </c>
      <c r="S1816" s="1477"/>
      <c r="T1816" s="1480">
        <f>IF(Q$1027="Yes",25,"")</f>
        <v>25</v>
      </c>
      <c r="U1816" s="1477"/>
      <c r="V1816" s="1477"/>
      <c r="W1816" s="1477"/>
      <c r="X1816" s="1477"/>
      <c r="Y1816" s="1477"/>
      <c r="Z1816" s="1477"/>
    </row>
    <row r="1817" spans="1:26"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80" t="s">
        <v>2068</v>
      </c>
      <c r="G1817" s="1480" t="str">
        <f>IF(T1817&lt;&gt;"","G","")</f>
        <v>G</v>
      </c>
      <c r="H1817" s="1480" t="s">
        <v>2063</v>
      </c>
      <c r="I1817" s="1427"/>
      <c r="J1817" s="1480"/>
      <c r="K1817" s="1480"/>
      <c r="L1817" s="906"/>
      <c r="M1817" s="1480"/>
      <c r="N1817" s="1480"/>
      <c r="O1817" s="1477"/>
      <c r="P1817" s="1477"/>
      <c r="Q1817" s="1477"/>
      <c r="R1817" s="1480" t="s">
        <v>483</v>
      </c>
      <c r="S1817" s="1477"/>
      <c r="T1817" s="1480">
        <f>IF(Q$1027="Yes",25,"")</f>
        <v>25</v>
      </c>
      <c r="U1817" s="1477"/>
      <c r="V1817" s="1477"/>
      <c r="W1817" s="1477"/>
      <c r="X1817" s="1477"/>
      <c r="Y1817" s="1477"/>
      <c r="Z1817" s="1477"/>
    </row>
    <row r="1818" spans="1:26" x14ac:dyDescent="0.25">
      <c r="A1818" s="1107" t="s">
        <v>1396</v>
      </c>
      <c r="B1818" s="906" t="str">
        <f t="shared" ref="B1818" ca="1" si="264">_xlfn.CONCAT(IFERROR(SUBSTITUTE(ADDRESS(1,MATCH(A1818,INDIRECT("'"&amp;E1818&amp;"'"&amp;"!A" &amp; $O$1038 + 2 &amp; ":Z" &amp; $O$1038 + 2),0),4),1,""),""),$O$1038+ 2)</f>
        <v>H367</v>
      </c>
      <c r="C1818" s="906" t="str">
        <f t="shared" ref="C1818" ca="1" si="265">_xlfn.CONCAT(IFERROR(SUBSTITUTE(ADDRESS(1,MATCH(A1818,INDIRECT("'"&amp;E1818&amp;"'"&amp;"!A" &amp; $O$1038 + 2 &amp; ":Z" &amp; $O$1038 + 2),0),4),1,""),""),$O$1038+ 3)</f>
        <v>H368</v>
      </c>
      <c r="D1818" s="906" t="s">
        <v>1365</v>
      </c>
      <c r="E1818" s="906" t="s">
        <v>1535</v>
      </c>
      <c r="F1818" s="1480" t="s">
        <v>2064</v>
      </c>
      <c r="G1818" s="1480" t="str">
        <f>IF(T1818&lt;&gt;"","E","")</f>
        <v>E</v>
      </c>
      <c r="H1818" s="1480" t="s">
        <v>2063</v>
      </c>
      <c r="I1818" s="1427"/>
      <c r="J1818" s="1480"/>
      <c r="K1818" s="1480"/>
      <c r="L1818" s="906"/>
      <c r="M1818" s="1480"/>
      <c r="N1818" s="1480"/>
      <c r="O1818" s="1477"/>
      <c r="P1818" s="1477"/>
      <c r="Q1818" s="1477"/>
      <c r="R1818" s="1480" t="s">
        <v>1144</v>
      </c>
      <c r="S1818" s="1477"/>
      <c r="T1818" s="1480">
        <f t="shared" ref="T1818" si="266">IF(Q$1038="Yes",26,"")</f>
        <v>26</v>
      </c>
      <c r="U1818" s="1477"/>
      <c r="V1818" s="1477"/>
      <c r="W1818" s="1477"/>
      <c r="X1818" s="1477"/>
      <c r="Y1818" s="1477"/>
      <c r="Z1818" s="1477"/>
    </row>
    <row r="1819" spans="1:26"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80" t="s">
        <v>2066</v>
      </c>
      <c r="G1819" s="1480" t="str">
        <f>IF(T1819&lt;&gt;"","H","")</f>
        <v>H</v>
      </c>
      <c r="H1819" s="1480" t="s">
        <v>2063</v>
      </c>
      <c r="I1819" s="1427"/>
      <c r="J1819" s="1480"/>
      <c r="K1819" s="1480"/>
      <c r="L1819" s="906"/>
      <c r="M1819" s="1480"/>
      <c r="N1819" s="1480"/>
      <c r="O1819" s="1477"/>
      <c r="P1819" s="1477"/>
      <c r="Q1819" s="1477"/>
      <c r="R1819" s="1480" t="s">
        <v>1719</v>
      </c>
      <c r="S1819" s="1477"/>
      <c r="T1819" s="1480">
        <f t="shared" ref="T1819:T1821" si="267">IF(Q$1052="Yes",27,"")</f>
        <v>27</v>
      </c>
      <c r="U1819" s="1477"/>
      <c r="V1819" s="1477"/>
      <c r="W1819" s="1477"/>
      <c r="X1819" s="1477"/>
      <c r="Y1819" s="1477"/>
      <c r="Z1819" s="1477"/>
    </row>
    <row r="1820" spans="1:26"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80" t="s">
        <v>2064</v>
      </c>
      <c r="G1820" s="1480" t="str">
        <f>IF(T1820&lt;&gt;"","E","")</f>
        <v>E</v>
      </c>
      <c r="H1820" s="1480" t="s">
        <v>2063</v>
      </c>
      <c r="I1820" s="1427"/>
      <c r="J1820" s="1480"/>
      <c r="K1820" s="1480"/>
      <c r="L1820" s="906"/>
      <c r="M1820" s="1480"/>
      <c r="N1820" s="1480"/>
      <c r="O1820" s="1477"/>
      <c r="P1820" s="1477"/>
      <c r="Q1820" s="1477"/>
      <c r="R1820" s="1480" t="s">
        <v>1719</v>
      </c>
      <c r="S1820" s="1477"/>
      <c r="T1820" s="1480">
        <f t="shared" si="267"/>
        <v>27</v>
      </c>
      <c r="U1820" s="1477"/>
      <c r="V1820" s="1477"/>
      <c r="W1820" s="1477"/>
      <c r="X1820" s="1477"/>
      <c r="Y1820" s="1477"/>
      <c r="Z1820" s="1477"/>
    </row>
    <row r="1821" spans="1:26"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80" t="s">
        <v>2068</v>
      </c>
      <c r="G1821" s="1480" t="str">
        <f>IF(T1821&lt;&gt;"","G","")</f>
        <v>G</v>
      </c>
      <c r="H1821" s="1480" t="s">
        <v>2063</v>
      </c>
      <c r="I1821" s="1427"/>
      <c r="J1821" s="1480"/>
      <c r="K1821" s="1480"/>
      <c r="L1821" s="906"/>
      <c r="M1821" s="1480"/>
      <c r="N1821" s="1480"/>
      <c r="O1821" s="1477"/>
      <c r="P1821" s="1477"/>
      <c r="Q1821" s="1477"/>
      <c r="R1821" s="1480" t="s">
        <v>1719</v>
      </c>
      <c r="S1821" s="1477"/>
      <c r="T1821" s="1480">
        <f t="shared" si="267"/>
        <v>27</v>
      </c>
      <c r="U1821" s="1477"/>
      <c r="V1821" s="1477"/>
      <c r="W1821" s="1477"/>
      <c r="X1821" s="1477"/>
      <c r="Y1821" s="1477"/>
      <c r="Z1821" s="1477"/>
    </row>
    <row r="1822" spans="1:26"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80" t="s">
        <v>2066</v>
      </c>
      <c r="G1822" s="1480" t="str">
        <f>IF(T1822&lt;&gt;"","H","")</f>
        <v/>
      </c>
      <c r="H1822" s="1480" t="s">
        <v>2063</v>
      </c>
      <c r="I1822" s="1427"/>
      <c r="J1822" s="1480"/>
      <c r="K1822" s="1480"/>
      <c r="L1822" s="906"/>
      <c r="M1822" s="1480"/>
      <c r="N1822" s="1480"/>
      <c r="O1822" s="1477"/>
      <c r="P1822" s="1477"/>
      <c r="Q1822" s="1477"/>
      <c r="R1822" s="1480" t="s">
        <v>1719</v>
      </c>
      <c r="S1822" s="1477"/>
      <c r="T1822" s="1480" t="str">
        <f t="shared" ref="T1822:T1823" si="268">IF(Q$1069="Yes",28,"")</f>
        <v/>
      </c>
      <c r="U1822" s="1477"/>
      <c r="V1822" s="1477"/>
      <c r="W1822" s="1477"/>
      <c r="X1822" s="1477"/>
      <c r="Y1822" s="1477"/>
      <c r="Z1822" s="1477"/>
    </row>
    <row r="1823" spans="1:26"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80" t="s">
        <v>2068</v>
      </c>
      <c r="G1823" s="1480" t="str">
        <f>IF(T1823&lt;&gt;"","G","")</f>
        <v/>
      </c>
      <c r="H1823" s="1480" t="s">
        <v>2063</v>
      </c>
      <c r="I1823" s="1427"/>
      <c r="J1823" s="1480"/>
      <c r="K1823" s="1480"/>
      <c r="L1823" s="906"/>
      <c r="M1823" s="1480"/>
      <c r="N1823" s="1480"/>
      <c r="O1823" s="1477"/>
      <c r="P1823" s="1477"/>
      <c r="Q1823" s="1477"/>
      <c r="R1823" s="1480" t="s">
        <v>1719</v>
      </c>
      <c r="S1823" s="1477"/>
      <c r="T1823" s="1480" t="str">
        <f t="shared" si="268"/>
        <v/>
      </c>
      <c r="U1823" s="1477"/>
      <c r="V1823" s="1477"/>
      <c r="W1823" s="1477"/>
      <c r="X1823" s="1477"/>
      <c r="Y1823" s="1477"/>
      <c r="Z1823" s="1477"/>
    </row>
    <row r="1824" spans="1:26"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80" t="s">
        <v>2066</v>
      </c>
      <c r="G1824" s="1480" t="str">
        <f>IF(T1824&lt;&gt;"","H","")</f>
        <v/>
      </c>
      <c r="H1824" s="1480" t="s">
        <v>2063</v>
      </c>
      <c r="I1824" s="1427"/>
      <c r="J1824" s="1480"/>
      <c r="K1824" s="1480"/>
      <c r="L1824" s="906"/>
      <c r="M1824" s="1480"/>
      <c r="N1824" s="1480"/>
      <c r="O1824" s="1477"/>
      <c r="P1824" s="1477"/>
      <c r="Q1824" s="1477"/>
      <c r="R1824" s="1480" t="s">
        <v>1107</v>
      </c>
      <c r="S1824" s="1477"/>
      <c r="T1824" s="1480" t="str">
        <f t="shared" ref="T1824:T1825" si="269">IF(Q$1085="Yes",29,"")</f>
        <v/>
      </c>
      <c r="U1824" s="1477"/>
      <c r="V1824" s="1477"/>
      <c r="W1824" s="1477"/>
      <c r="X1824" s="1477"/>
      <c r="Y1824" s="1477"/>
      <c r="Z1824" s="1477"/>
    </row>
    <row r="1825" spans="1:26"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80" t="s">
        <v>2068</v>
      </c>
      <c r="G1825" s="1480" t="str">
        <f>IF(T1825&lt;&gt;"","G","")</f>
        <v/>
      </c>
      <c r="H1825" s="1480" t="s">
        <v>2063</v>
      </c>
      <c r="I1825" s="1427"/>
      <c r="J1825" s="1480"/>
      <c r="K1825" s="1480"/>
      <c r="L1825" s="906"/>
      <c r="M1825" s="1480"/>
      <c r="N1825" s="1480"/>
      <c r="O1825" s="1477"/>
      <c r="P1825" s="1477"/>
      <c r="Q1825" s="1477"/>
      <c r="R1825" s="1480" t="s">
        <v>1107</v>
      </c>
      <c r="S1825" s="1477"/>
      <c r="T1825" s="1480" t="str">
        <f t="shared" si="269"/>
        <v/>
      </c>
      <c r="U1825" s="1477"/>
      <c r="V1825" s="1477"/>
      <c r="W1825" s="1477"/>
      <c r="X1825" s="1477"/>
      <c r="Y1825" s="1477"/>
      <c r="Z1825" s="1477"/>
    </row>
    <row r="1826" spans="1:26"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80" t="s">
        <v>2066</v>
      </c>
      <c r="G1826" s="1480" t="str">
        <f>IF(T1826&lt;&gt;"","H","")</f>
        <v/>
      </c>
      <c r="H1826" s="1480" t="s">
        <v>2063</v>
      </c>
      <c r="I1826" s="1427"/>
      <c r="J1826" s="1480"/>
      <c r="K1826" s="1480"/>
      <c r="L1826" s="906"/>
      <c r="M1826" s="1480"/>
      <c r="N1826" s="1480"/>
      <c r="O1826" s="1477"/>
      <c r="P1826" s="1477"/>
      <c r="Q1826" s="1477"/>
      <c r="R1826" s="1480" t="s">
        <v>1107</v>
      </c>
      <c r="S1826" s="1477"/>
      <c r="T1826" s="1480" t="str">
        <f t="shared" ref="T1826:T1827" si="270">IF(Q$1095="Yes",30,"")</f>
        <v/>
      </c>
      <c r="U1826" s="1477"/>
      <c r="V1826" s="1477"/>
      <c r="W1826" s="1477"/>
      <c r="X1826" s="1477"/>
      <c r="Y1826" s="1477"/>
      <c r="Z1826" s="1477"/>
    </row>
    <row r="1827" spans="1:26"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80" t="s">
        <v>2068</v>
      </c>
      <c r="G1827" s="1480" t="str">
        <f>IF(T1827&lt;&gt;"","G","")</f>
        <v/>
      </c>
      <c r="H1827" s="1480" t="s">
        <v>2063</v>
      </c>
      <c r="I1827" s="1427"/>
      <c r="J1827" s="1480"/>
      <c r="K1827" s="1480"/>
      <c r="L1827" s="906"/>
      <c r="M1827" s="1480"/>
      <c r="N1827" s="1480"/>
      <c r="O1827" s="1477"/>
      <c r="P1827" s="1477"/>
      <c r="Q1827" s="1477"/>
      <c r="R1827" s="1480" t="s">
        <v>1107</v>
      </c>
      <c r="S1827" s="1477"/>
      <c r="T1827" s="1480" t="str">
        <f t="shared" si="270"/>
        <v/>
      </c>
      <c r="U1827" s="1477"/>
      <c r="V1827" s="1477"/>
      <c r="W1827" s="1477"/>
      <c r="X1827" s="1477"/>
      <c r="Y1827" s="1477"/>
      <c r="Z1827" s="1477"/>
    </row>
    <row r="1828" spans="1:26"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80" t="s">
        <v>2066</v>
      </c>
      <c r="G1828" s="1480" t="str">
        <f>IF(T1828&lt;&gt;"","H","")</f>
        <v>H</v>
      </c>
      <c r="H1828" s="1480" t="s">
        <v>2063</v>
      </c>
      <c r="I1828" s="1427"/>
      <c r="J1828" s="1480"/>
      <c r="K1828" s="1480"/>
      <c r="L1828" s="906"/>
      <c r="M1828" s="1480"/>
      <c r="N1828" s="1480"/>
      <c r="O1828" s="1477"/>
      <c r="P1828" s="1477"/>
      <c r="Q1828" s="1477"/>
      <c r="R1828" s="1480" t="s">
        <v>1107</v>
      </c>
      <c r="S1828" s="1477"/>
      <c r="T1828" s="1480">
        <f t="shared" ref="T1828:T1829" si="271">IF(Q$1105="Yes",31,"")</f>
        <v>31</v>
      </c>
      <c r="U1828" s="1477"/>
      <c r="V1828" s="1477"/>
      <c r="W1828" s="1477"/>
      <c r="X1828" s="1477"/>
      <c r="Y1828" s="1477"/>
      <c r="Z1828" s="1477"/>
    </row>
    <row r="1829" spans="1:26"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80" t="s">
        <v>2067</v>
      </c>
      <c r="G1829" s="1480" t="str">
        <f>IF(T1829&lt;&gt;"","F","")</f>
        <v>F</v>
      </c>
      <c r="H1829" s="1480" t="s">
        <v>2063</v>
      </c>
      <c r="I1829" s="1427" t="str">
        <f t="shared" ref="I1829:I1831" si="272">IF(J1829&lt;&gt;"",A1829,"")</f>
        <v/>
      </c>
      <c r="J1829" s="1480"/>
      <c r="K1829" s="1480" t="str">
        <f t="shared" ref="K1829:K1831" si="273">IF(J1829&lt;&gt;"",E1829,"")</f>
        <v/>
      </c>
      <c r="L1829" s="906"/>
      <c r="M1829" s="1480"/>
      <c r="N1829" s="1480"/>
      <c r="O1829" s="1477"/>
      <c r="P1829" s="1477"/>
      <c r="Q1829" s="1477"/>
      <c r="R1829" s="1480" t="s">
        <v>1107</v>
      </c>
      <c r="S1829" s="1477"/>
      <c r="T1829" s="1480">
        <f t="shared" si="271"/>
        <v>31</v>
      </c>
      <c r="U1829" s="1477"/>
      <c r="V1829" s="1477"/>
      <c r="W1829" s="1477"/>
      <c r="X1829" s="1477"/>
      <c r="Y1829" s="1477"/>
      <c r="Z1829" s="1477"/>
    </row>
    <row r="1830" spans="1:26"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80" t="s">
        <v>2066</v>
      </c>
      <c r="G1830" s="1480" t="str">
        <f>IF(T1830&lt;&gt;"","H","")</f>
        <v/>
      </c>
      <c r="H1830" s="1480" t="s">
        <v>2063</v>
      </c>
      <c r="I1830" s="1427"/>
      <c r="J1830" s="1480"/>
      <c r="K1830" s="1480"/>
      <c r="L1830" s="906"/>
      <c r="M1830" s="1480"/>
      <c r="N1830" s="1480"/>
      <c r="O1830" s="1477"/>
      <c r="P1830" s="1477"/>
      <c r="Q1830" s="1477"/>
      <c r="R1830" s="1480" t="s">
        <v>1107</v>
      </c>
      <c r="S1830" s="1477"/>
      <c r="T1830" s="1480" t="str">
        <f t="shared" ref="T1830:T1831" si="274">IF(Q$1134="Yes",32,"")</f>
        <v/>
      </c>
      <c r="U1830" s="1477"/>
      <c r="V1830" s="1477"/>
      <c r="W1830" s="1477"/>
      <c r="X1830" s="1477"/>
      <c r="Y1830" s="1477"/>
      <c r="Z1830" s="1477"/>
    </row>
    <row r="1831" spans="1:26"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80" t="s">
        <v>2067</v>
      </c>
      <c r="G1831" s="1480" t="str">
        <f>IF(T1831&lt;&gt;"","F","")</f>
        <v/>
      </c>
      <c r="H1831" s="1480" t="s">
        <v>2063</v>
      </c>
      <c r="I1831" s="1427" t="str">
        <f t="shared" si="272"/>
        <v/>
      </c>
      <c r="J1831" s="1480"/>
      <c r="K1831" s="1480" t="str">
        <f t="shared" si="273"/>
        <v/>
      </c>
      <c r="L1831" s="906"/>
      <c r="M1831" s="1480"/>
      <c r="N1831" s="1480"/>
      <c r="O1831" s="1477"/>
      <c r="P1831" s="1477"/>
      <c r="Q1831" s="1477"/>
      <c r="R1831" s="1480" t="s">
        <v>1107</v>
      </c>
      <c r="S1831" s="1477"/>
      <c r="T1831" s="1480" t="str">
        <f t="shared" si="274"/>
        <v/>
      </c>
      <c r="U1831" s="1477"/>
      <c r="V1831" s="1477"/>
      <c r="W1831" s="1477"/>
      <c r="X1831" s="1477"/>
      <c r="Y1831" s="1477"/>
      <c r="Z1831" s="1477"/>
    </row>
    <row r="1832" spans="1:26"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80" t="s">
        <v>2064</v>
      </c>
      <c r="G1832" s="1480" t="str">
        <f>IF(T1832&lt;&gt;"","E","")</f>
        <v/>
      </c>
      <c r="H1832" s="1480" t="s">
        <v>2063</v>
      </c>
      <c r="I1832" s="1427"/>
      <c r="J1832" s="1480"/>
      <c r="K1832" s="1480"/>
      <c r="L1832" s="906"/>
      <c r="M1832" s="1480"/>
      <c r="N1832" s="1480"/>
      <c r="O1832" s="1477"/>
      <c r="P1832" s="1477"/>
      <c r="Q1832" s="1477"/>
      <c r="R1832" s="1480" t="s">
        <v>1107</v>
      </c>
      <c r="S1832" s="1477"/>
      <c r="T1832" s="1480" t="str">
        <f t="shared" ref="T1832:T1834" si="275">IF(Q$1163="Yes",33,"")</f>
        <v/>
      </c>
      <c r="U1832" s="1477"/>
      <c r="V1832" s="1477"/>
      <c r="W1832" s="1477"/>
      <c r="X1832" s="1477"/>
      <c r="Y1832" s="1477"/>
      <c r="Z1832" s="1477"/>
    </row>
    <row r="1833" spans="1:26"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80" t="s">
        <v>2066</v>
      </c>
      <c r="G1833" s="1480" t="str">
        <f>IF(T1833&lt;&gt;"","H","")</f>
        <v/>
      </c>
      <c r="H1833" s="1480" t="s">
        <v>2063</v>
      </c>
      <c r="I1833" s="1427"/>
      <c r="J1833" s="1480"/>
      <c r="K1833" s="1480"/>
      <c r="L1833" s="906"/>
      <c r="M1833" s="1480"/>
      <c r="N1833" s="1480"/>
      <c r="O1833" s="1477"/>
      <c r="P1833" s="1477"/>
      <c r="Q1833" s="1477"/>
      <c r="R1833" s="1480" t="s">
        <v>1107</v>
      </c>
      <c r="S1833" s="1477"/>
      <c r="T1833" s="1480" t="str">
        <f t="shared" si="275"/>
        <v/>
      </c>
      <c r="U1833" s="1477"/>
      <c r="V1833" s="1477"/>
      <c r="W1833" s="1477"/>
      <c r="X1833" s="1477"/>
      <c r="Y1833" s="1477"/>
      <c r="Z1833" s="1477"/>
    </row>
    <row r="1834" spans="1:26"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80" t="s">
        <v>2068</v>
      </c>
      <c r="G1834" s="1480" t="str">
        <f>IF(T1834&lt;&gt;"","G","")</f>
        <v/>
      </c>
      <c r="H1834" s="1480" t="s">
        <v>2063</v>
      </c>
      <c r="I1834" s="1427"/>
      <c r="J1834" s="1480"/>
      <c r="K1834" s="1480"/>
      <c r="L1834" s="906"/>
      <c r="M1834" s="1480"/>
      <c r="N1834" s="1480"/>
      <c r="O1834" s="1477"/>
      <c r="P1834" s="1477"/>
      <c r="Q1834" s="1477"/>
      <c r="R1834" s="1480" t="s">
        <v>1107</v>
      </c>
      <c r="S1834" s="1477"/>
      <c r="T1834" s="1480" t="str">
        <f t="shared" si="275"/>
        <v/>
      </c>
      <c r="U1834" s="1477"/>
      <c r="V1834" s="1477"/>
      <c r="W1834" s="1477"/>
      <c r="X1834" s="1477"/>
      <c r="Y1834" s="1477"/>
      <c r="Z1834" s="1477"/>
    </row>
    <row r="1835" spans="1:26"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80" t="s">
        <v>2064</v>
      </c>
      <c r="G1835" s="1480" t="str">
        <f>IF(T1835&lt;&gt;"","E","")</f>
        <v/>
      </c>
      <c r="H1835" s="1480" t="s">
        <v>2063</v>
      </c>
      <c r="I1835" s="1427"/>
      <c r="J1835" s="1480"/>
      <c r="K1835" s="1480"/>
      <c r="L1835" s="906"/>
      <c r="M1835" s="1480"/>
      <c r="N1835" s="1480"/>
      <c r="O1835" s="1477"/>
      <c r="P1835" s="1477"/>
      <c r="Q1835" s="1477"/>
      <c r="R1835" s="1480" t="s">
        <v>1107</v>
      </c>
      <c r="S1835" s="1477"/>
      <c r="T1835" s="1480" t="str">
        <f t="shared" ref="T1835:T1837" si="276">IF(Q$1188="Yes",34,"")</f>
        <v/>
      </c>
      <c r="U1835" s="1477"/>
      <c r="V1835" s="1477"/>
      <c r="W1835" s="1477"/>
      <c r="X1835" s="1477"/>
      <c r="Y1835" s="1477"/>
      <c r="Z1835" s="1477"/>
    </row>
    <row r="1836" spans="1:26"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80" t="s">
        <v>2066</v>
      </c>
      <c r="G1836" s="1480" t="str">
        <f>IF(T1836&lt;&gt;"","H","")</f>
        <v/>
      </c>
      <c r="H1836" s="1480" t="s">
        <v>2063</v>
      </c>
      <c r="I1836" s="1427"/>
      <c r="J1836" s="1480"/>
      <c r="K1836" s="1480"/>
      <c r="L1836" s="906"/>
      <c r="M1836" s="1480"/>
      <c r="N1836" s="1480"/>
      <c r="O1836" s="1477"/>
      <c r="P1836" s="1477"/>
      <c r="Q1836" s="1477"/>
      <c r="R1836" s="1480" t="s">
        <v>1107</v>
      </c>
      <c r="S1836" s="1477"/>
      <c r="T1836" s="1480" t="str">
        <f t="shared" si="276"/>
        <v/>
      </c>
      <c r="U1836" s="1477"/>
      <c r="V1836" s="1477"/>
      <c r="W1836" s="1477"/>
      <c r="X1836" s="1477"/>
      <c r="Y1836" s="1477"/>
      <c r="Z1836" s="1477"/>
    </row>
    <row r="1837" spans="1:26"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80" t="s">
        <v>2068</v>
      </c>
      <c r="G1837" s="1480" t="str">
        <f>IF(T1837&lt;&gt;"","G","")</f>
        <v/>
      </c>
      <c r="H1837" s="1480" t="s">
        <v>2063</v>
      </c>
      <c r="I1837" s="1427"/>
      <c r="J1837" s="1480"/>
      <c r="K1837" s="1480"/>
      <c r="L1837" s="906"/>
      <c r="M1837" s="1480"/>
      <c r="N1837" s="1480"/>
      <c r="O1837" s="1477"/>
      <c r="P1837" s="1477"/>
      <c r="Q1837" s="1477"/>
      <c r="R1837" s="1480" t="s">
        <v>1107</v>
      </c>
      <c r="S1837" s="1477"/>
      <c r="T1837" s="1480" t="str">
        <f t="shared" si="276"/>
        <v/>
      </c>
      <c r="U1837" s="1477"/>
      <c r="V1837" s="1477"/>
      <c r="W1837" s="1477"/>
      <c r="X1837" s="1477"/>
      <c r="Y1837" s="1477"/>
      <c r="Z1837" s="1477"/>
    </row>
    <row r="1838" spans="1:26"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80" t="s">
        <v>2066</v>
      </c>
      <c r="G1838" s="1480" t="str">
        <f>IF(T1838&lt;&gt;"","H","")</f>
        <v>H</v>
      </c>
      <c r="H1838" s="1480" t="s">
        <v>2063</v>
      </c>
      <c r="I1838" s="1427"/>
      <c r="J1838" s="1480"/>
      <c r="K1838" s="1480"/>
      <c r="L1838" s="906"/>
      <c r="M1838" s="1480"/>
      <c r="N1838" s="1480"/>
      <c r="O1838" s="1477"/>
      <c r="P1838" s="1477"/>
      <c r="Q1838" s="1477"/>
      <c r="R1838" s="1480" t="s">
        <v>1165</v>
      </c>
      <c r="S1838" s="1477"/>
      <c r="T1838" s="1480">
        <f t="shared" ref="T1838" si="277">IF(Q$1213="Yes",35,"")</f>
        <v>35</v>
      </c>
      <c r="U1838" s="1477"/>
      <c r="V1838" s="1477"/>
      <c r="W1838" s="1477"/>
      <c r="X1838" s="1477"/>
      <c r="Y1838" s="1477"/>
      <c r="Z1838" s="1477"/>
    </row>
    <row r="1839" spans="1:26"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80" t="s">
        <v>2064</v>
      </c>
      <c r="G1839" s="1480" t="str">
        <f>IF(T1839&lt;&gt;"","E","")</f>
        <v/>
      </c>
      <c r="H1839" s="1480" t="s">
        <v>2063</v>
      </c>
      <c r="I1839" s="1427"/>
      <c r="J1839" s="1480"/>
      <c r="K1839" s="1480"/>
      <c r="L1839" s="906"/>
      <c r="M1839" s="1480"/>
      <c r="N1839" s="1480"/>
      <c r="O1839" s="1477"/>
      <c r="P1839" s="1477"/>
      <c r="Q1839" s="1477"/>
      <c r="R1839" s="1480" t="s">
        <v>1719</v>
      </c>
      <c r="S1839" s="1477"/>
      <c r="T1839" s="1480" t="str">
        <f t="shared" ref="T1839" si="278">IF(Q$1069="Yes",28,"")</f>
        <v/>
      </c>
      <c r="U1839" s="1477"/>
      <c r="V1839" s="1477"/>
      <c r="W1839" s="1477"/>
      <c r="X1839" s="1477"/>
      <c r="Y1839" s="1477"/>
      <c r="Z1839" s="1477"/>
    </row>
    <row r="1840" spans="1:26"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80" t="s">
        <v>1543</v>
      </c>
      <c r="G1840" s="1480" t="str">
        <f>IF(T1840&lt;&gt;"","M","")</f>
        <v>M</v>
      </c>
      <c r="H1840" s="1480" t="s">
        <v>2063</v>
      </c>
      <c r="I1840" s="1427"/>
      <c r="J1840" s="1480"/>
      <c r="K1840" s="1480" t="str">
        <f t="shared" ref="K1840:K1843" si="279">IF(J1840&lt;&gt;"",E1840,"")</f>
        <v/>
      </c>
      <c r="L1840" s="906"/>
      <c r="M1840" s="1480"/>
      <c r="N1840" s="1480"/>
      <c r="O1840" s="1477"/>
      <c r="P1840" s="1477"/>
      <c r="Q1840" s="1477"/>
      <c r="R1840" s="1480" t="s">
        <v>1544</v>
      </c>
      <c r="S1840" s="1477"/>
      <c r="T1840" s="1480">
        <f>IF(Q$670="Yes",7,"")</f>
        <v>7</v>
      </c>
      <c r="U1840" s="1477"/>
      <c r="V1840" s="1477"/>
      <c r="W1840" s="1477"/>
      <c r="X1840" s="1477"/>
      <c r="Y1840" s="1477"/>
      <c r="Z1840" s="1477"/>
    </row>
    <row r="1841" spans="1:26"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80" t="s">
        <v>1543</v>
      </c>
      <c r="G1841" s="1480" t="str">
        <f>IF(T1841&lt;&gt;"","M","")</f>
        <v/>
      </c>
      <c r="H1841" s="1480" t="s">
        <v>2063</v>
      </c>
      <c r="I1841" s="1427" t="str">
        <f t="shared" ref="I1841" si="280">IF(J1841&lt;&gt;"",A1841,"")</f>
        <v/>
      </c>
      <c r="J1841" s="1480"/>
      <c r="K1841" s="1480" t="str">
        <f t="shared" si="279"/>
        <v/>
      </c>
      <c r="L1841" s="906"/>
      <c r="M1841" s="1480"/>
      <c r="N1841" s="1480"/>
      <c r="O1841" s="1477"/>
      <c r="P1841" s="1477"/>
      <c r="Q1841" s="1477"/>
      <c r="R1841" s="1480" t="s">
        <v>1544</v>
      </c>
      <c r="S1841" s="1477"/>
      <c r="T1841" s="1480" t="str">
        <f>IF(Q$688="Yes",8,"")</f>
        <v/>
      </c>
      <c r="U1841" s="1477"/>
      <c r="V1841" s="1477"/>
      <c r="W1841" s="1477"/>
      <c r="X1841" s="1477"/>
      <c r="Y1841" s="1477"/>
      <c r="Z1841" s="1477"/>
    </row>
    <row r="1842" spans="1:26"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80" t="s">
        <v>1543</v>
      </c>
      <c r="G1842" s="1480" t="str">
        <f>IF(T1842&lt;&gt;"","M","")</f>
        <v/>
      </c>
      <c r="H1842" s="1480" t="s">
        <v>2063</v>
      </c>
      <c r="I1842" s="1427"/>
      <c r="J1842" s="1480"/>
      <c r="K1842" s="1480" t="str">
        <f t="shared" si="279"/>
        <v/>
      </c>
      <c r="L1842" s="906"/>
      <c r="M1842" s="1480"/>
      <c r="N1842" s="1480"/>
      <c r="O1842" s="1477"/>
      <c r="P1842" s="1477"/>
      <c r="Q1842" s="1477"/>
      <c r="R1842" s="1480" t="s">
        <v>1544</v>
      </c>
      <c r="S1842" s="1477"/>
      <c r="T1842" s="1480" t="str">
        <f>IF(Q$706="Yes",9,"")</f>
        <v/>
      </c>
      <c r="U1842" s="1477"/>
      <c r="V1842" s="1477"/>
      <c r="W1842" s="1477"/>
      <c r="X1842" s="1477"/>
      <c r="Y1842" s="1477"/>
      <c r="Z1842" s="1477"/>
    </row>
    <row r="1843" spans="1:26"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80" t="s">
        <v>1543</v>
      </c>
      <c r="G1843" s="1480" t="str">
        <f>IF(T1843&lt;&gt;"","M","")</f>
        <v/>
      </c>
      <c r="H1843" s="1480" t="s">
        <v>2063</v>
      </c>
      <c r="I1843" s="1427" t="str">
        <f t="shared" ref="I1843" si="281">IF(J1843&lt;&gt;"",A1843,"")</f>
        <v/>
      </c>
      <c r="J1843" s="1480"/>
      <c r="K1843" s="1480" t="str">
        <f t="shared" si="279"/>
        <v/>
      </c>
      <c r="L1843" s="906"/>
      <c r="M1843" s="1480"/>
      <c r="N1843" s="1480"/>
      <c r="O1843" s="1477"/>
      <c r="P1843" s="1477"/>
      <c r="Q1843" s="1477"/>
      <c r="R1843" s="1480" t="s">
        <v>1544</v>
      </c>
      <c r="S1843" s="1477"/>
      <c r="T1843" s="1480" t="str">
        <f>IF(Q$736="Yes",10,"")</f>
        <v/>
      </c>
      <c r="U1843" s="1477"/>
      <c r="V1843" s="1477"/>
      <c r="W1843" s="1477"/>
      <c r="X1843" s="1477"/>
      <c r="Y1843" s="1477"/>
      <c r="Z1843" s="1477"/>
    </row>
    <row r="1844" spans="1:26"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80" t="s">
        <v>2071</v>
      </c>
      <c r="G1844" s="1480" t="str">
        <f>IF(T1844&lt;&gt;"","N","")</f>
        <v/>
      </c>
      <c r="H1844" s="1480" t="s">
        <v>2063</v>
      </c>
      <c r="I1844" s="1427"/>
      <c r="J1844" s="1480"/>
      <c r="K1844" s="1480"/>
      <c r="L1844" s="906"/>
      <c r="M1844" s="1480"/>
      <c r="N1844" s="1480"/>
      <c r="O1844" s="1477"/>
      <c r="P1844" s="1477"/>
      <c r="Q1844" s="1477"/>
      <c r="R1844" s="1480" t="s">
        <v>857</v>
      </c>
      <c r="S1844" s="1477"/>
      <c r="T1844" s="1480" t="str">
        <f t="shared" ref="T1844" si="282">IF(Q$540="Yes",1,"")</f>
        <v/>
      </c>
      <c r="U1844" s="1477"/>
      <c r="V1844" s="1477"/>
      <c r="W1844" s="1477"/>
      <c r="X1844" s="1477"/>
      <c r="Y1844" s="1477"/>
      <c r="Z1844" s="1477"/>
    </row>
    <row r="1845" spans="1:26"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80" t="s">
        <v>2071</v>
      </c>
      <c r="G1845" s="1480" t="str">
        <f t="shared" ref="G1845:G1866" si="283">IF(T1845&lt;&gt;"","N","")</f>
        <v/>
      </c>
      <c r="H1845" s="1480" t="s">
        <v>2063</v>
      </c>
      <c r="I1845" s="1427"/>
      <c r="J1845" s="1480"/>
      <c r="K1845" s="1480"/>
      <c r="L1845" s="906"/>
      <c r="M1845" s="1480"/>
      <c r="N1845" s="1480"/>
      <c r="O1845" s="1477"/>
      <c r="P1845" s="1477"/>
      <c r="Q1845" s="1477"/>
      <c r="R1845" s="1480" t="s">
        <v>857</v>
      </c>
      <c r="S1845" s="1477"/>
      <c r="T1845" s="1480" t="str">
        <f t="shared" ref="T1845" si="284">IF(Q$555="Yes",2,"")</f>
        <v/>
      </c>
      <c r="U1845" s="1477"/>
      <c r="V1845" s="1477"/>
      <c r="W1845" s="1477"/>
      <c r="X1845" s="1477"/>
      <c r="Y1845" s="1477"/>
      <c r="Z1845" s="1477"/>
    </row>
    <row r="1846" spans="1:26"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80" t="s">
        <v>2071</v>
      </c>
      <c r="G1846" s="1480" t="str">
        <f t="shared" si="283"/>
        <v>N</v>
      </c>
      <c r="H1846" s="1480" t="s">
        <v>2063</v>
      </c>
      <c r="I1846" s="1427"/>
      <c r="J1846" s="1480"/>
      <c r="K1846" s="1480"/>
      <c r="L1846" s="906"/>
      <c r="M1846" s="1480"/>
      <c r="N1846" s="1480"/>
      <c r="O1846" s="1477"/>
      <c r="P1846" s="1477"/>
      <c r="Q1846" s="1477"/>
      <c r="R1846" s="1480" t="s">
        <v>857</v>
      </c>
      <c r="S1846" s="1477"/>
      <c r="T1846" s="1480">
        <f>IF(Q$570="Yes",3,"")</f>
        <v>3</v>
      </c>
      <c r="U1846" s="1477"/>
      <c r="V1846" s="1477"/>
      <c r="W1846" s="1477"/>
      <c r="X1846" s="1477"/>
      <c r="Y1846" s="1477"/>
      <c r="Z1846" s="1477"/>
    </row>
    <row r="1847" spans="1:26"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80" t="s">
        <v>2071</v>
      </c>
      <c r="G1847" s="1480" t="str">
        <f t="shared" si="283"/>
        <v/>
      </c>
      <c r="H1847" s="1480" t="s">
        <v>2063</v>
      </c>
      <c r="I1847" s="1427"/>
      <c r="J1847" s="1480"/>
      <c r="K1847" s="1480"/>
      <c r="L1847" s="906"/>
      <c r="M1847" s="1480"/>
      <c r="N1847" s="1480"/>
      <c r="O1847" s="1477"/>
      <c r="P1847" s="1477"/>
      <c r="Q1847" s="1477"/>
      <c r="R1847" s="1480" t="s">
        <v>857</v>
      </c>
      <c r="S1847" s="1477"/>
      <c r="T1847" s="1480" t="str">
        <f>IF(Q$589="Yes",4,"")</f>
        <v/>
      </c>
      <c r="U1847" s="1477"/>
      <c r="V1847" s="1477"/>
      <c r="W1847" s="1477"/>
      <c r="X1847" s="1477"/>
      <c r="Y1847" s="1477"/>
      <c r="Z1847" s="1477"/>
    </row>
    <row r="1848" spans="1:26"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80" t="s">
        <v>2071</v>
      </c>
      <c r="G1848" s="1480" t="str">
        <f t="shared" si="283"/>
        <v/>
      </c>
      <c r="H1848" s="1480" t="s">
        <v>2063</v>
      </c>
      <c r="I1848" s="1427"/>
      <c r="J1848" s="1480"/>
      <c r="K1848" s="1480"/>
      <c r="L1848" s="906"/>
      <c r="M1848" s="1480"/>
      <c r="N1848" s="1480"/>
      <c r="O1848" s="1477"/>
      <c r="P1848" s="1477"/>
      <c r="Q1848" s="1477"/>
      <c r="R1848" s="1480" t="s">
        <v>857</v>
      </c>
      <c r="S1848" s="1477"/>
      <c r="T1848" s="1480" t="str">
        <f>IF(Q$608="Yes",5,"")</f>
        <v/>
      </c>
      <c r="U1848" s="1477"/>
      <c r="V1848" s="1477"/>
      <c r="W1848" s="1477"/>
      <c r="X1848" s="1477"/>
      <c r="Y1848" s="1477"/>
      <c r="Z1848" s="1477"/>
    </row>
    <row r="1849" spans="1:26"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80" t="s">
        <v>2071</v>
      </c>
      <c r="G1849" s="1480" t="str">
        <f t="shared" si="283"/>
        <v/>
      </c>
      <c r="H1849" s="1480" t="s">
        <v>2063</v>
      </c>
      <c r="I1849" s="1427"/>
      <c r="J1849" s="1480"/>
      <c r="K1849" s="1480"/>
      <c r="L1849" s="906"/>
      <c r="M1849" s="1480"/>
      <c r="N1849" s="1480"/>
      <c r="O1849" s="1477"/>
      <c r="P1849" s="1477"/>
      <c r="Q1849" s="1477"/>
      <c r="R1849" s="623" t="s">
        <v>857</v>
      </c>
      <c r="S1849" s="1477"/>
      <c r="T1849" s="1480" t="str">
        <f>IF(Q$639="Yes",6,"")</f>
        <v/>
      </c>
      <c r="U1849" s="1477"/>
      <c r="V1849" s="1477"/>
      <c r="W1849" s="1477"/>
      <c r="X1849" s="1477"/>
      <c r="Y1849" s="1477"/>
      <c r="Z1849" s="1477"/>
    </row>
    <row r="1850" spans="1:26"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80" t="s">
        <v>2071</v>
      </c>
      <c r="G1850" s="1480" t="str">
        <f t="shared" si="283"/>
        <v>N</v>
      </c>
      <c r="H1850" s="1480" t="s">
        <v>2063</v>
      </c>
      <c r="I1850" s="1427"/>
      <c r="J1850" s="1480"/>
      <c r="K1850" s="1480"/>
      <c r="L1850" s="906"/>
      <c r="M1850" s="1480"/>
      <c r="N1850" s="1480"/>
      <c r="O1850" s="1477"/>
      <c r="P1850" s="1477"/>
      <c r="Q1850" s="1477"/>
      <c r="R1850" s="1480" t="s">
        <v>1544</v>
      </c>
      <c r="S1850" s="1477"/>
      <c r="T1850" s="1480">
        <f>IF(Q$670="Yes",7,"")</f>
        <v>7</v>
      </c>
      <c r="U1850" s="1477"/>
      <c r="V1850" s="1477"/>
      <c r="W1850" s="1477"/>
      <c r="X1850" s="1477"/>
      <c r="Y1850" s="1477"/>
      <c r="Z1850" s="1477"/>
    </row>
    <row r="1851" spans="1:26"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80" t="s">
        <v>2071</v>
      </c>
      <c r="G1851" s="1480" t="str">
        <f t="shared" si="283"/>
        <v/>
      </c>
      <c r="H1851" s="1480" t="s">
        <v>2063</v>
      </c>
      <c r="I1851" s="1427"/>
      <c r="J1851" s="1480"/>
      <c r="K1851" s="1480"/>
      <c r="L1851" s="906"/>
      <c r="M1851" s="1480"/>
      <c r="N1851" s="1480"/>
      <c r="O1851" s="1477"/>
      <c r="P1851" s="1477"/>
      <c r="Q1851" s="1477"/>
      <c r="R1851" s="1480" t="s">
        <v>1544</v>
      </c>
      <c r="S1851" s="1477"/>
      <c r="T1851" s="1480" t="str">
        <f>IF(Q$688="Yes",8,"")</f>
        <v/>
      </c>
      <c r="U1851" s="1477"/>
      <c r="V1851" s="1477"/>
      <c r="W1851" s="1477"/>
      <c r="X1851" s="1477"/>
      <c r="Y1851" s="1477"/>
      <c r="Z1851" s="1477"/>
    </row>
    <row r="1852" spans="1:26"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80" t="s">
        <v>2071</v>
      </c>
      <c r="G1852" s="1480" t="str">
        <f t="shared" si="283"/>
        <v/>
      </c>
      <c r="H1852" s="1480" t="s">
        <v>2063</v>
      </c>
      <c r="I1852" s="1427"/>
      <c r="J1852" s="1480"/>
      <c r="K1852" s="1480"/>
      <c r="L1852" s="906"/>
      <c r="M1852" s="1480"/>
      <c r="N1852" s="1480"/>
      <c r="O1852" s="1477"/>
      <c r="P1852" s="1477"/>
      <c r="Q1852" s="1477"/>
      <c r="R1852" s="1480" t="s">
        <v>1544</v>
      </c>
      <c r="S1852" s="1477"/>
      <c r="T1852" s="1480" t="str">
        <f>IF(Q$706="Yes",9,"")</f>
        <v/>
      </c>
      <c r="U1852" s="1477"/>
      <c r="V1852" s="1477"/>
      <c r="W1852" s="1477"/>
      <c r="X1852" s="1477"/>
      <c r="Y1852" s="1477"/>
      <c r="Z1852" s="1477"/>
    </row>
    <row r="1853" spans="1:26"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80" t="s">
        <v>2071</v>
      </c>
      <c r="G1853" s="1480" t="str">
        <f t="shared" si="283"/>
        <v/>
      </c>
      <c r="H1853" s="1480" t="s">
        <v>2063</v>
      </c>
      <c r="I1853" s="1427"/>
      <c r="J1853" s="1480"/>
      <c r="K1853" s="1480"/>
      <c r="L1853" s="906"/>
      <c r="M1853" s="1480"/>
      <c r="N1853" s="1480"/>
      <c r="O1853" s="1477"/>
      <c r="P1853" s="1477"/>
      <c r="Q1853" s="1477"/>
      <c r="R1853" s="1480" t="s">
        <v>1544</v>
      </c>
      <c r="S1853" s="1477"/>
      <c r="T1853" s="1480" t="str">
        <f>IF(Q$736="Yes",10,"")</f>
        <v/>
      </c>
      <c r="U1853" s="1477"/>
      <c r="V1853" s="1477"/>
      <c r="W1853" s="1477"/>
      <c r="X1853" s="1477"/>
      <c r="Y1853" s="1477"/>
      <c r="Z1853" s="1477"/>
    </row>
    <row r="1854" spans="1:26"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80" t="s">
        <v>2071</v>
      </c>
      <c r="G1854" s="1480" t="str">
        <f t="shared" si="283"/>
        <v/>
      </c>
      <c r="H1854" s="1480" t="s">
        <v>2063</v>
      </c>
      <c r="I1854" s="1427"/>
      <c r="J1854" s="1480"/>
      <c r="K1854" s="1480"/>
      <c r="L1854" s="906"/>
      <c r="M1854" s="1480"/>
      <c r="N1854" s="1480"/>
      <c r="O1854" s="1477"/>
      <c r="P1854" s="1477"/>
      <c r="Q1854" s="1477"/>
      <c r="R1854" s="1480" t="s">
        <v>1550</v>
      </c>
      <c r="S1854" s="1477"/>
      <c r="T1854" s="1480" t="str">
        <f>IF(Q$766="Yes",11,"")</f>
        <v/>
      </c>
      <c r="U1854" s="1477"/>
      <c r="V1854" s="1477"/>
      <c r="W1854" s="1477"/>
      <c r="X1854" s="1477"/>
      <c r="Y1854" s="1477"/>
      <c r="Z1854" s="1477"/>
    </row>
    <row r="1855" spans="1:26"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80" t="s">
        <v>2071</v>
      </c>
      <c r="G1855" s="1480" t="str">
        <f t="shared" si="283"/>
        <v/>
      </c>
      <c r="H1855" s="1480" t="s">
        <v>2063</v>
      </c>
      <c r="I1855" s="1427"/>
      <c r="J1855" s="1480"/>
      <c r="K1855" s="1480"/>
      <c r="L1855" s="906"/>
      <c r="M1855" s="1480"/>
      <c r="N1855" s="1480"/>
      <c r="O1855" s="1477"/>
      <c r="P1855" s="1477"/>
      <c r="Q1855" s="1477"/>
      <c r="R1855" s="1480" t="s">
        <v>1550</v>
      </c>
      <c r="S1855" s="1477"/>
      <c r="T1855" s="1480" t="str">
        <f>IF(Q$781="Yes",12,"")</f>
        <v/>
      </c>
      <c r="U1855" s="1477"/>
      <c r="V1855" s="1477"/>
      <c r="W1855" s="1477"/>
      <c r="X1855" s="1477"/>
      <c r="Y1855" s="1477"/>
      <c r="Z1855" s="1477"/>
    </row>
    <row r="1856" spans="1:26"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80" t="s">
        <v>2071</v>
      </c>
      <c r="G1856" s="1480" t="str">
        <f t="shared" si="283"/>
        <v>N</v>
      </c>
      <c r="H1856" s="1480" t="s">
        <v>2063</v>
      </c>
      <c r="I1856" s="1427"/>
      <c r="J1856" s="1480"/>
      <c r="K1856" s="1480"/>
      <c r="L1856" s="906"/>
      <c r="M1856" s="1480"/>
      <c r="N1856" s="1480"/>
      <c r="O1856" s="1477"/>
      <c r="P1856" s="1477"/>
      <c r="Q1856" s="1477"/>
      <c r="R1856" s="1480" t="s">
        <v>1550</v>
      </c>
      <c r="S1856" s="1477"/>
      <c r="T1856" s="1480">
        <f>IF(Q$796="Yes",13,"")</f>
        <v>13</v>
      </c>
      <c r="U1856" s="1477"/>
      <c r="V1856" s="1477"/>
      <c r="W1856" s="1477"/>
      <c r="X1856" s="1477"/>
      <c r="Y1856" s="1477"/>
      <c r="Z1856" s="1477"/>
    </row>
    <row r="1857" spans="1:26"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80" t="s">
        <v>2071</v>
      </c>
      <c r="G1857" s="1480" t="str">
        <f t="shared" si="283"/>
        <v/>
      </c>
      <c r="H1857" s="1480" t="s">
        <v>2063</v>
      </c>
      <c r="I1857" s="1427"/>
      <c r="J1857" s="1480"/>
      <c r="K1857" s="1480"/>
      <c r="L1857" s="906"/>
      <c r="M1857" s="1480"/>
      <c r="N1857" s="1480"/>
      <c r="O1857" s="1477"/>
      <c r="P1857" s="1477"/>
      <c r="Q1857" s="1477"/>
      <c r="R1857" s="1480" t="s">
        <v>1550</v>
      </c>
      <c r="S1857" s="1477"/>
      <c r="T1857" s="1480" t="str">
        <f>IF(Q$814="Yes",14,"")</f>
        <v/>
      </c>
      <c r="U1857" s="1477"/>
      <c r="V1857" s="1477"/>
      <c r="W1857" s="1477"/>
      <c r="X1857" s="1477"/>
      <c r="Y1857" s="1477"/>
      <c r="Z1857" s="1477"/>
    </row>
    <row r="1858" spans="1:26"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80" t="s">
        <v>2071</v>
      </c>
      <c r="G1858" s="1480" t="str">
        <f t="shared" si="283"/>
        <v/>
      </c>
      <c r="H1858" s="1480" t="s">
        <v>2063</v>
      </c>
      <c r="I1858" s="1427"/>
      <c r="J1858" s="1480"/>
      <c r="K1858" s="1480"/>
      <c r="L1858" s="906"/>
      <c r="M1858" s="1480"/>
      <c r="N1858" s="1480"/>
      <c r="O1858" s="1477"/>
      <c r="P1858" s="1477"/>
      <c r="Q1858" s="1477"/>
      <c r="R1858" s="1480" t="s">
        <v>1550</v>
      </c>
      <c r="S1858" s="1477"/>
      <c r="T1858" s="1480" t="str">
        <f>IF(Q$832="Yes",15,"")</f>
        <v/>
      </c>
      <c r="U1858" s="1477"/>
      <c r="V1858" s="1477"/>
      <c r="W1858" s="1477"/>
      <c r="X1858" s="1477"/>
      <c r="Y1858" s="1477"/>
      <c r="Z1858" s="1477"/>
    </row>
    <row r="1859" spans="1:26"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80" t="s">
        <v>2071</v>
      </c>
      <c r="G1859" s="1480" t="str">
        <f t="shared" si="283"/>
        <v/>
      </c>
      <c r="H1859" s="1480" t="s">
        <v>2063</v>
      </c>
      <c r="I1859" s="1427"/>
      <c r="J1859" s="1480"/>
      <c r="K1859" s="1480"/>
      <c r="L1859" s="906"/>
      <c r="M1859" s="1480"/>
      <c r="N1859" s="1480"/>
      <c r="O1859" s="1477"/>
      <c r="P1859" s="1477"/>
      <c r="Q1859" s="1477"/>
      <c r="R1859" s="1480" t="s">
        <v>1550</v>
      </c>
      <c r="S1859" s="1477"/>
      <c r="T1859" s="1480" t="str">
        <f>IF(Q$862="Yes",16,"")</f>
        <v/>
      </c>
      <c r="U1859" s="1477"/>
      <c r="V1859" s="1477"/>
      <c r="W1859" s="1477"/>
      <c r="X1859" s="1477"/>
      <c r="Y1859" s="1477"/>
      <c r="Z1859" s="1477"/>
    </row>
    <row r="1860" spans="1:26"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80" t="s">
        <v>2071</v>
      </c>
      <c r="G1860" s="1480" t="str">
        <f t="shared" si="283"/>
        <v>N</v>
      </c>
      <c r="H1860" s="1480" t="s">
        <v>2063</v>
      </c>
      <c r="I1860" s="1427"/>
      <c r="J1860" s="1480"/>
      <c r="K1860" s="1480"/>
      <c r="L1860" s="906"/>
      <c r="M1860" s="1480"/>
      <c r="N1860" s="1480"/>
      <c r="O1860" s="1477"/>
      <c r="P1860" s="1477"/>
      <c r="Q1860" s="1477"/>
      <c r="R1860" s="1480" t="s">
        <v>396</v>
      </c>
      <c r="S1860" s="1477"/>
      <c r="T1860" s="1480">
        <f t="shared" ref="T1860" si="285">IF(Q$892="Yes",17,"")</f>
        <v>17</v>
      </c>
      <c r="U1860" s="1477"/>
      <c r="V1860" s="1477"/>
      <c r="W1860" s="1477"/>
      <c r="X1860" s="1477"/>
      <c r="Y1860" s="1477"/>
      <c r="Z1860" s="1477"/>
    </row>
    <row r="1861" spans="1:26"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80" t="s">
        <v>2071</v>
      </c>
      <c r="G1861" s="1480" t="str">
        <f t="shared" si="283"/>
        <v/>
      </c>
      <c r="H1861" s="1480" t="s">
        <v>2063</v>
      </c>
      <c r="I1861" s="1427"/>
      <c r="J1861" s="1480"/>
      <c r="K1861" s="1480"/>
      <c r="L1861" s="906"/>
      <c r="M1861" s="1480"/>
      <c r="N1861" s="1480"/>
      <c r="O1861" s="1477"/>
      <c r="P1861" s="1477"/>
      <c r="Q1861" s="1477"/>
      <c r="R1861" s="1480" t="s">
        <v>396</v>
      </c>
      <c r="S1861" s="1477"/>
      <c r="T1861" s="1480" t="str">
        <f>IF(Q$911="Yes",18,"")</f>
        <v/>
      </c>
      <c r="U1861" s="1477"/>
      <c r="V1861" s="1477"/>
      <c r="W1861" s="1477"/>
      <c r="X1861" s="1477"/>
      <c r="Y1861" s="1477"/>
      <c r="Z1861" s="1477"/>
    </row>
    <row r="1862" spans="1:26"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80" t="s">
        <v>2071</v>
      </c>
      <c r="G1862" s="1480" t="str">
        <f t="shared" si="283"/>
        <v/>
      </c>
      <c r="H1862" s="1480" t="s">
        <v>2063</v>
      </c>
      <c r="I1862" s="1427"/>
      <c r="J1862" s="1480"/>
      <c r="K1862" s="1480"/>
      <c r="L1862" s="906"/>
      <c r="M1862" s="1480"/>
      <c r="N1862" s="1480"/>
      <c r="O1862" s="1477"/>
      <c r="P1862" s="1477"/>
      <c r="Q1862" s="1477"/>
      <c r="R1862" s="1480" t="s">
        <v>396</v>
      </c>
      <c r="S1862" s="1477"/>
      <c r="T1862" s="1480" t="str">
        <f>IF(Q$930="Yes",19,"")</f>
        <v/>
      </c>
      <c r="U1862" s="1477"/>
      <c r="V1862" s="1477"/>
      <c r="W1862" s="1477"/>
      <c r="X1862" s="1477"/>
      <c r="Y1862" s="1477"/>
      <c r="Z1862" s="1477"/>
    </row>
    <row r="1863" spans="1:26"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80" t="s">
        <v>2071</v>
      </c>
      <c r="G1863" s="1480" t="str">
        <f t="shared" si="283"/>
        <v/>
      </c>
      <c r="H1863" s="1480" t="s">
        <v>2063</v>
      </c>
      <c r="I1863" s="1427"/>
      <c r="J1863" s="1480"/>
      <c r="K1863" s="1480"/>
      <c r="L1863" s="906"/>
      <c r="M1863" s="1480"/>
      <c r="N1863" s="1480"/>
      <c r="O1863" s="1477"/>
      <c r="P1863" s="1477"/>
      <c r="Q1863" s="1477"/>
      <c r="R1863" s="1480" t="s">
        <v>396</v>
      </c>
      <c r="S1863" s="1477"/>
      <c r="T1863" s="1480" t="str">
        <f>IF(Q$949="Yes",20,"")</f>
        <v/>
      </c>
      <c r="U1863" s="1477"/>
      <c r="V1863" s="1477"/>
      <c r="W1863" s="1477"/>
      <c r="X1863" s="1477"/>
      <c r="Y1863" s="1477"/>
      <c r="Z1863" s="1477"/>
    </row>
    <row r="1864" spans="1:26"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80" t="s">
        <v>2071</v>
      </c>
      <c r="G1864" s="1480" t="str">
        <f t="shared" si="283"/>
        <v/>
      </c>
      <c r="H1864" s="1480" t="s">
        <v>2063</v>
      </c>
      <c r="I1864" s="1427"/>
      <c r="J1864" s="1480"/>
      <c r="K1864" s="1480"/>
      <c r="L1864" s="906"/>
      <c r="M1864" s="1480"/>
      <c r="N1864" s="1480"/>
      <c r="O1864" s="1477"/>
      <c r="P1864" s="1477"/>
      <c r="Q1864" s="1477"/>
      <c r="R1864" s="1480" t="s">
        <v>396</v>
      </c>
      <c r="S1864" s="1477"/>
      <c r="T1864" s="1480" t="str">
        <f>IF(Q$968="Yes",21,"")</f>
        <v/>
      </c>
      <c r="U1864" s="1477"/>
      <c r="V1864" s="1477"/>
      <c r="W1864" s="1477"/>
      <c r="X1864" s="1477"/>
      <c r="Y1864" s="1477"/>
      <c r="Z1864" s="1477"/>
    </row>
    <row r="1865" spans="1:26"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80" t="s">
        <v>2071</v>
      </c>
      <c r="G1865" s="1480" t="str">
        <f t="shared" si="283"/>
        <v>N</v>
      </c>
      <c r="H1865" s="1480" t="s">
        <v>2063</v>
      </c>
      <c r="I1865" s="1427"/>
      <c r="J1865" s="1480"/>
      <c r="K1865" s="1480"/>
      <c r="L1865" s="906"/>
      <c r="M1865" s="1480"/>
      <c r="N1865" s="1480"/>
      <c r="O1865" s="1477"/>
      <c r="P1865" s="1477"/>
      <c r="Q1865" s="1477"/>
      <c r="R1865" s="1480" t="s">
        <v>1715</v>
      </c>
      <c r="S1865" s="1477"/>
      <c r="T1865" s="1480">
        <f>IF(Q$987="Yes",22,"")</f>
        <v>22</v>
      </c>
      <c r="U1865" s="1477"/>
      <c r="V1865" s="1477"/>
      <c r="W1865" s="1477"/>
      <c r="X1865" s="1477"/>
      <c r="Y1865" s="1477"/>
      <c r="Z1865" s="1477"/>
    </row>
    <row r="1866" spans="1:26"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80" t="s">
        <v>2071</v>
      </c>
      <c r="G1866" s="1480" t="str">
        <f t="shared" si="283"/>
        <v>N</v>
      </c>
      <c r="H1866" s="1480" t="s">
        <v>2063</v>
      </c>
      <c r="I1866" s="1427"/>
      <c r="J1866" s="1480"/>
      <c r="K1866" s="1480"/>
      <c r="L1866" s="906"/>
      <c r="M1866" s="1480"/>
      <c r="N1866" s="1480"/>
      <c r="O1866" s="1477"/>
      <c r="P1866" s="1477"/>
      <c r="Q1866" s="1477"/>
      <c r="R1866" s="1480" t="s">
        <v>1144</v>
      </c>
      <c r="S1866" s="1477"/>
      <c r="T1866" s="1480">
        <f t="shared" ref="T1866" si="286">IF(Q$1038="Yes",26,"")</f>
        <v>26</v>
      </c>
      <c r="U1866" s="1477"/>
      <c r="V1866" s="1477"/>
      <c r="W1866" s="1477"/>
      <c r="X1866" s="1477"/>
      <c r="Y1866" s="1477"/>
      <c r="Z1866" s="1477"/>
    </row>
    <row r="1867" spans="1:26"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80" t="s">
        <v>1527</v>
      </c>
      <c r="G1867" s="1480" t="str">
        <f>IF(T1867&lt;&gt;"","P","")</f>
        <v>P</v>
      </c>
      <c r="H1867" s="1480" t="s">
        <v>2063</v>
      </c>
      <c r="I1867" s="1427"/>
      <c r="J1867" s="1480"/>
      <c r="K1867" s="1480"/>
      <c r="L1867" s="906"/>
      <c r="M1867" s="1480"/>
      <c r="N1867" s="1480"/>
      <c r="O1867" s="1477"/>
      <c r="P1867" s="1477"/>
      <c r="Q1867" s="1477"/>
      <c r="R1867" s="1480" t="s">
        <v>1550</v>
      </c>
      <c r="S1867" s="1477"/>
      <c r="T1867" s="1480">
        <f>IF(Q$796="Yes",13,"")</f>
        <v>13</v>
      </c>
      <c r="U1867" s="1477"/>
      <c r="V1867" s="1477"/>
      <c r="W1867" s="1477"/>
      <c r="X1867" s="1477"/>
      <c r="Y1867" s="1477"/>
      <c r="Z1867" s="1477"/>
    </row>
    <row r="1868" spans="1:26"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80" t="s">
        <v>1527</v>
      </c>
      <c r="G1868" s="1480" t="str">
        <f t="shared" ref="G1868:G1871" si="287">IF(T1868&lt;&gt;"","P","")</f>
        <v/>
      </c>
      <c r="H1868" s="1480" t="s">
        <v>2063</v>
      </c>
      <c r="I1868" s="1427"/>
      <c r="J1868" s="1480"/>
      <c r="K1868" s="1480"/>
      <c r="L1868" s="906"/>
      <c r="M1868" s="1480"/>
      <c r="N1868" s="1480"/>
      <c r="O1868" s="1477"/>
      <c r="P1868" s="1477"/>
      <c r="Q1868" s="1477"/>
      <c r="R1868" s="1480" t="s">
        <v>1550</v>
      </c>
      <c r="S1868" s="1477"/>
      <c r="T1868" s="1480" t="str">
        <f>IF(Q$814="Yes",14,"")</f>
        <v/>
      </c>
      <c r="U1868" s="1477"/>
      <c r="V1868" s="1477"/>
      <c r="W1868" s="1477"/>
      <c r="X1868" s="1477"/>
      <c r="Y1868" s="1477"/>
      <c r="Z1868" s="1477"/>
    </row>
    <row r="1869" spans="1:26"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80" t="s">
        <v>1527</v>
      </c>
      <c r="G1869" s="1480" t="str">
        <f t="shared" si="287"/>
        <v/>
      </c>
      <c r="H1869" s="1480" t="s">
        <v>2063</v>
      </c>
      <c r="I1869" s="1427"/>
      <c r="J1869" s="1480"/>
      <c r="K1869" s="1480"/>
      <c r="L1869" s="906"/>
      <c r="M1869" s="1480"/>
      <c r="N1869" s="1480"/>
      <c r="O1869" s="1477"/>
      <c r="P1869" s="1477"/>
      <c r="Q1869" s="1477"/>
      <c r="R1869" s="1480" t="s">
        <v>1550</v>
      </c>
      <c r="S1869" s="1477"/>
      <c r="T1869" s="1480" t="str">
        <f>IF(Q$832="Yes",15,"")</f>
        <v/>
      </c>
      <c r="U1869" s="1477"/>
      <c r="V1869" s="1477"/>
      <c r="W1869" s="1477"/>
      <c r="X1869" s="1477"/>
      <c r="Y1869" s="1477"/>
      <c r="Z1869" s="1477"/>
    </row>
    <row r="1870" spans="1:26"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80" t="s">
        <v>1527</v>
      </c>
      <c r="G1870" s="1480" t="str">
        <f t="shared" si="287"/>
        <v/>
      </c>
      <c r="H1870" s="1480" t="s">
        <v>2063</v>
      </c>
      <c r="I1870" s="1427"/>
      <c r="J1870" s="1480"/>
      <c r="K1870" s="1480"/>
      <c r="L1870" s="906"/>
      <c r="M1870" s="1480"/>
      <c r="N1870" s="1480"/>
      <c r="O1870" s="1477"/>
      <c r="P1870" s="1477"/>
      <c r="Q1870" s="1477"/>
      <c r="R1870" s="1480" t="s">
        <v>1550</v>
      </c>
      <c r="S1870" s="1477"/>
      <c r="T1870" s="1480" t="str">
        <f>IF(Q$862="Yes",16,"")</f>
        <v/>
      </c>
      <c r="U1870" s="1477"/>
      <c r="V1870" s="1477"/>
      <c r="W1870" s="1477"/>
      <c r="X1870" s="1477"/>
      <c r="Y1870" s="1477"/>
      <c r="Z1870" s="1477"/>
    </row>
    <row r="1871" spans="1:26"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80" t="s">
        <v>1527</v>
      </c>
      <c r="G1871" s="1480" t="str">
        <f t="shared" si="287"/>
        <v>P</v>
      </c>
      <c r="H1871" s="1480" t="s">
        <v>2063</v>
      </c>
      <c r="I1871" s="1427"/>
      <c r="J1871" s="1480"/>
      <c r="K1871" s="1480"/>
      <c r="L1871" s="906"/>
      <c r="M1871" s="1480"/>
      <c r="N1871" s="1480"/>
      <c r="O1871" s="1477"/>
      <c r="P1871" s="1477"/>
      <c r="Q1871" s="1477"/>
      <c r="R1871" s="1480" t="s">
        <v>1715</v>
      </c>
      <c r="S1871" s="1477"/>
      <c r="T1871" s="1480">
        <f>IF(Q$987="Yes",22,"")</f>
        <v>22</v>
      </c>
      <c r="U1871" s="1477"/>
      <c r="V1871" s="1477"/>
      <c r="W1871" s="1477"/>
      <c r="X1871" s="1477"/>
      <c r="Y1871" s="1477"/>
      <c r="Z1871" s="1477"/>
    </row>
    <row r="1872" spans="1:26"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80" t="s">
        <v>1526</v>
      </c>
      <c r="G1872" s="1480" t="str">
        <f>IF(T1872&lt;&gt;"","Q","")</f>
        <v>Q</v>
      </c>
      <c r="H1872" s="1480" t="s">
        <v>2063</v>
      </c>
      <c r="I1872" s="1427" t="str">
        <f t="shared" ref="I1872:I1880" si="288">IF(J1872&lt;&gt;"",A1872,"")</f>
        <v/>
      </c>
      <c r="J1872" s="1480"/>
      <c r="K1872" s="1480" t="str">
        <f t="shared" ref="K1872:K1880" si="289">IF(J1872&lt;&gt;"",E1872,"")</f>
        <v/>
      </c>
      <c r="L1872" s="906" t="s">
        <v>1527</v>
      </c>
      <c r="M1872" s="1480">
        <v>570</v>
      </c>
      <c r="N1872" s="1480"/>
      <c r="O1872" s="1477"/>
      <c r="P1872" s="1477"/>
      <c r="Q1872" s="1477"/>
      <c r="R1872" s="1480" t="s">
        <v>857</v>
      </c>
      <c r="S1872" s="1477"/>
      <c r="T1872" s="1480">
        <f>IF(Q$570="Yes",3,"")</f>
        <v>3</v>
      </c>
      <c r="U1872" s="1477"/>
      <c r="V1872" s="1477"/>
      <c r="W1872" s="1477"/>
      <c r="X1872" s="1477"/>
      <c r="Y1872" s="1477"/>
      <c r="Z1872" s="1477"/>
    </row>
    <row r="1873" spans="1:26"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80" t="s">
        <v>1526</v>
      </c>
      <c r="G1873" s="1480" t="str">
        <f t="shared" ref="G1873:G1885" si="290">IF(T1873&lt;&gt;"","Q","")</f>
        <v/>
      </c>
      <c r="H1873" s="1480" t="s">
        <v>2063</v>
      </c>
      <c r="I1873" s="1427" t="str">
        <f t="shared" si="288"/>
        <v/>
      </c>
      <c r="J1873" s="1480"/>
      <c r="K1873" s="1480" t="str">
        <f t="shared" si="289"/>
        <v/>
      </c>
      <c r="L1873" s="906" t="s">
        <v>1527</v>
      </c>
      <c r="M1873" s="1480">
        <v>589</v>
      </c>
      <c r="N1873" s="1480"/>
      <c r="O1873" s="1477"/>
      <c r="P1873" s="1477"/>
      <c r="Q1873" s="1477"/>
      <c r="R1873" s="1480" t="s">
        <v>857</v>
      </c>
      <c r="S1873" s="1477"/>
      <c r="T1873" s="1480" t="str">
        <f>IF(Q$589="Yes",4,"")</f>
        <v/>
      </c>
      <c r="U1873" s="1477"/>
      <c r="V1873" s="1477"/>
      <c r="W1873" s="1477"/>
      <c r="X1873" s="1477"/>
      <c r="Y1873" s="1477"/>
      <c r="Z1873" s="1477"/>
    </row>
    <row r="1874" spans="1:26"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80" t="s">
        <v>1526</v>
      </c>
      <c r="G1874" s="1480" t="str">
        <f t="shared" si="290"/>
        <v/>
      </c>
      <c r="H1874" s="1480" t="s">
        <v>2063</v>
      </c>
      <c r="I1874" s="1427" t="str">
        <f t="shared" si="288"/>
        <v>First Dollar Flag</v>
      </c>
      <c r="J1874" s="1480" t="str">
        <f t="shared" ref="J1874:J1880" si="291">IF(M1874&lt;&gt;"",Q$1&amp;M1874,"")</f>
        <v>F620</v>
      </c>
      <c r="K1874" s="1480" t="str">
        <f t="shared" si="289"/>
        <v>Incentives Worksheet</v>
      </c>
      <c r="L1874" s="906" t="s">
        <v>1527</v>
      </c>
      <c r="M1874" s="1480">
        <v>620</v>
      </c>
      <c r="N1874" s="1480"/>
      <c r="O1874" s="1477"/>
      <c r="P1874" s="1477"/>
      <c r="Q1874" s="1477"/>
      <c r="R1874" s="623" t="s">
        <v>857</v>
      </c>
      <c r="S1874" s="1477"/>
      <c r="T1874" s="1480" t="str">
        <f>IF(Q$608="Yes",5,"")</f>
        <v/>
      </c>
      <c r="U1874" s="1477"/>
      <c r="V1874" s="1477"/>
      <c r="W1874" s="1477"/>
      <c r="X1874" s="1477"/>
      <c r="Y1874" s="1477"/>
      <c r="Z1874" s="1477"/>
    </row>
    <row r="1875" spans="1:26"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80" t="s">
        <v>1526</v>
      </c>
      <c r="G1875" s="1480" t="str">
        <f t="shared" si="290"/>
        <v/>
      </c>
      <c r="H1875" s="1480" t="s">
        <v>2063</v>
      </c>
      <c r="I1875" s="1427" t="str">
        <f t="shared" si="288"/>
        <v>First Dollar Flag</v>
      </c>
      <c r="J1875" s="1480" t="str">
        <f t="shared" si="291"/>
        <v>F651</v>
      </c>
      <c r="K1875" s="1480" t="str">
        <f t="shared" si="289"/>
        <v>Incentives Worksheet</v>
      </c>
      <c r="L1875" s="906" t="s">
        <v>1527</v>
      </c>
      <c r="M1875" s="1480">
        <v>651</v>
      </c>
      <c r="N1875" s="1480"/>
      <c r="O1875" s="1477"/>
      <c r="P1875" s="1477"/>
      <c r="Q1875" s="1477"/>
      <c r="R1875" s="623" t="s">
        <v>857</v>
      </c>
      <c r="S1875" s="1477"/>
      <c r="T1875" s="1480" t="str">
        <f>IF(Q$639="Yes",6,"")</f>
        <v/>
      </c>
      <c r="U1875" s="1477"/>
      <c r="V1875" s="1477"/>
      <c r="W1875" s="1477"/>
      <c r="X1875" s="1477"/>
      <c r="Y1875" s="1477"/>
      <c r="Z1875" s="1477"/>
    </row>
    <row r="1876" spans="1:26"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80" t="s">
        <v>1526</v>
      </c>
      <c r="G1876" s="1480" t="str">
        <f t="shared" si="290"/>
        <v>Q</v>
      </c>
      <c r="H1876" s="1480" t="s">
        <v>2063</v>
      </c>
      <c r="I1876" s="1427" t="str">
        <f t="shared" si="288"/>
        <v>First Dollar Flag</v>
      </c>
      <c r="J1876" s="1480" t="str">
        <f t="shared" si="291"/>
        <v>F892</v>
      </c>
      <c r="K1876" s="1480" t="str">
        <f t="shared" si="289"/>
        <v>Incentives Worksheet</v>
      </c>
      <c r="L1876" s="906" t="s">
        <v>1527</v>
      </c>
      <c r="M1876" s="1480">
        <v>892</v>
      </c>
      <c r="N1876" s="1480"/>
      <c r="O1876" s="1477"/>
      <c r="P1876" s="1477"/>
      <c r="Q1876" s="1477"/>
      <c r="R1876" s="1480" t="s">
        <v>396</v>
      </c>
      <c r="S1876" s="1477"/>
      <c r="T1876" s="1480">
        <f t="shared" ref="T1876" si="292">IF(Q$892="Yes",17,"")</f>
        <v>17</v>
      </c>
      <c r="U1876" s="1477"/>
      <c r="V1876" s="1477"/>
      <c r="W1876" s="1477"/>
      <c r="X1876" s="1477"/>
      <c r="Y1876" s="1477"/>
      <c r="Z1876" s="1477"/>
    </row>
    <row r="1877" spans="1:26"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80" t="s">
        <v>1526</v>
      </c>
      <c r="G1877" s="1480" t="str">
        <f t="shared" si="290"/>
        <v/>
      </c>
      <c r="H1877" s="1480" t="s">
        <v>2063</v>
      </c>
      <c r="I1877" s="1427" t="str">
        <f t="shared" si="288"/>
        <v>First Dollar Flag</v>
      </c>
      <c r="J1877" s="1480" t="str">
        <f t="shared" si="291"/>
        <v>F911</v>
      </c>
      <c r="K1877" s="1480" t="str">
        <f t="shared" si="289"/>
        <v>Incentives Worksheet</v>
      </c>
      <c r="L1877" s="906" t="s">
        <v>1527</v>
      </c>
      <c r="M1877" s="1480">
        <v>911</v>
      </c>
      <c r="N1877" s="1480"/>
      <c r="O1877" s="1477"/>
      <c r="P1877" s="1477"/>
      <c r="Q1877" s="1477"/>
      <c r="R1877" s="1480" t="s">
        <v>396</v>
      </c>
      <c r="S1877" s="1477"/>
      <c r="T1877" s="1480" t="str">
        <f>IF(Q$911="Yes",18,"")</f>
        <v/>
      </c>
      <c r="U1877" s="1477"/>
      <c r="V1877" s="1477"/>
      <c r="W1877" s="1477"/>
      <c r="X1877" s="1477"/>
      <c r="Y1877" s="1477"/>
      <c r="Z1877" s="1477"/>
    </row>
    <row r="1878" spans="1:26"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80" t="s">
        <v>1526</v>
      </c>
      <c r="G1878" s="1480" t="str">
        <f t="shared" si="290"/>
        <v/>
      </c>
      <c r="H1878" s="1480" t="s">
        <v>2063</v>
      </c>
      <c r="I1878" s="1427" t="str">
        <f t="shared" si="288"/>
        <v>First Dollar Flag</v>
      </c>
      <c r="J1878" s="1480" t="str">
        <f t="shared" si="291"/>
        <v>F930</v>
      </c>
      <c r="K1878" s="1480" t="str">
        <f t="shared" si="289"/>
        <v>Incentives Worksheet</v>
      </c>
      <c r="L1878" s="906" t="s">
        <v>1527</v>
      </c>
      <c r="M1878" s="1480">
        <v>930</v>
      </c>
      <c r="N1878" s="1480"/>
      <c r="O1878" s="1477"/>
      <c r="P1878" s="1477"/>
      <c r="Q1878" s="1477"/>
      <c r="R1878" s="1480" t="s">
        <v>396</v>
      </c>
      <c r="S1878" s="1477"/>
      <c r="T1878" s="1480" t="str">
        <f>IF(Q$930="Yes",19,"")</f>
        <v/>
      </c>
      <c r="U1878" s="1477"/>
      <c r="V1878" s="1477"/>
      <c r="W1878" s="1477"/>
      <c r="X1878" s="1477"/>
      <c r="Y1878" s="1477"/>
      <c r="Z1878" s="1477"/>
    </row>
    <row r="1879" spans="1:26"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80" t="s">
        <v>1526</v>
      </c>
      <c r="G1879" s="1480" t="str">
        <f t="shared" si="290"/>
        <v/>
      </c>
      <c r="H1879" s="1480" t="s">
        <v>2063</v>
      </c>
      <c r="I1879" s="1427" t="str">
        <f t="shared" si="288"/>
        <v>First Dollar Flag</v>
      </c>
      <c r="J1879" s="1480" t="str">
        <f t="shared" si="291"/>
        <v>F949</v>
      </c>
      <c r="K1879" s="1480" t="str">
        <f t="shared" si="289"/>
        <v>Incentives Worksheet</v>
      </c>
      <c r="L1879" s="906" t="s">
        <v>1527</v>
      </c>
      <c r="M1879" s="1480">
        <v>949</v>
      </c>
      <c r="N1879" s="1480"/>
      <c r="O1879" s="1477"/>
      <c r="P1879" s="1477"/>
      <c r="Q1879" s="1477"/>
      <c r="R1879" s="1480" t="s">
        <v>396</v>
      </c>
      <c r="S1879" s="1477"/>
      <c r="T1879" s="1480" t="str">
        <f>IF(Q$949="Yes",20,"")</f>
        <v/>
      </c>
      <c r="U1879" s="1477"/>
      <c r="V1879" s="1477"/>
      <c r="W1879" s="1477"/>
      <c r="X1879" s="1477"/>
      <c r="Y1879" s="1477"/>
      <c r="Z1879" s="1477"/>
    </row>
    <row r="1880" spans="1:26"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80" t="s">
        <v>1526</v>
      </c>
      <c r="G1880" s="1480" t="str">
        <f t="shared" si="290"/>
        <v/>
      </c>
      <c r="H1880" s="1480" t="s">
        <v>2063</v>
      </c>
      <c r="I1880" s="1427" t="str">
        <f t="shared" si="288"/>
        <v>First Dollar Flag</v>
      </c>
      <c r="J1880" s="1480" t="str">
        <f t="shared" si="291"/>
        <v>F968</v>
      </c>
      <c r="K1880" s="1480" t="str">
        <f t="shared" si="289"/>
        <v>Incentives Worksheet</v>
      </c>
      <c r="L1880" s="906" t="s">
        <v>1527</v>
      </c>
      <c r="M1880" s="1480">
        <v>968</v>
      </c>
      <c r="N1880" s="1480"/>
      <c r="O1880" s="1477"/>
      <c r="P1880" s="1477"/>
      <c r="Q1880" s="1477"/>
      <c r="R1880" s="1480" t="s">
        <v>396</v>
      </c>
      <c r="S1880" s="1477"/>
      <c r="T1880" s="1480" t="str">
        <f>IF(Q$968="Yes",21,"")</f>
        <v/>
      </c>
      <c r="U1880" s="1477"/>
      <c r="V1880" s="1477"/>
      <c r="W1880" s="1477"/>
      <c r="X1880" s="1477"/>
      <c r="Y1880" s="1477"/>
      <c r="Z1880" s="1477"/>
    </row>
    <row r="1881" spans="1:26"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80" t="s">
        <v>1526</v>
      </c>
      <c r="G1881" s="1480" t="str">
        <f t="shared" si="290"/>
        <v>Q</v>
      </c>
      <c r="H1881" s="1480" t="s">
        <v>2063</v>
      </c>
      <c r="I1881" s="1427"/>
      <c r="J1881" s="1480"/>
      <c r="K1881" s="1480"/>
      <c r="L1881" s="906"/>
      <c r="M1881" s="1480"/>
      <c r="N1881" s="1480"/>
      <c r="O1881" s="1477"/>
      <c r="P1881" s="1477"/>
      <c r="Q1881" s="1477"/>
      <c r="R1881" s="1480" t="s">
        <v>1550</v>
      </c>
      <c r="S1881" s="1477"/>
      <c r="T1881" s="1480">
        <f>IF(Q$796="Yes",13,"")</f>
        <v>13</v>
      </c>
      <c r="U1881" s="1477"/>
      <c r="V1881" s="1477"/>
      <c r="W1881" s="1477"/>
      <c r="X1881" s="1477"/>
      <c r="Y1881" s="1477"/>
      <c r="Z1881" s="1477"/>
    </row>
    <row r="1882" spans="1:26"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80" t="s">
        <v>1526</v>
      </c>
      <c r="G1882" s="1480" t="str">
        <f t="shared" si="290"/>
        <v/>
      </c>
      <c r="H1882" s="1480" t="s">
        <v>2063</v>
      </c>
      <c r="I1882" s="1427"/>
      <c r="J1882" s="1480"/>
      <c r="K1882" s="1480"/>
      <c r="L1882" s="906"/>
      <c r="M1882" s="1480"/>
      <c r="N1882" s="1480"/>
      <c r="O1882" s="1477"/>
      <c r="P1882" s="1477"/>
      <c r="Q1882" s="1477"/>
      <c r="R1882" s="1480" t="s">
        <v>1550</v>
      </c>
      <c r="S1882" s="1477"/>
      <c r="T1882" s="1480" t="str">
        <f>IF(Q$814="Yes",14,"")</f>
        <v/>
      </c>
      <c r="U1882" s="1477"/>
      <c r="V1882" s="1477"/>
      <c r="W1882" s="1477"/>
      <c r="X1882" s="1477"/>
      <c r="Y1882" s="1477"/>
      <c r="Z1882" s="1477"/>
    </row>
    <row r="1883" spans="1:26"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80" t="s">
        <v>1526</v>
      </c>
      <c r="G1883" s="1480" t="str">
        <f t="shared" si="290"/>
        <v/>
      </c>
      <c r="H1883" s="1480" t="s">
        <v>2063</v>
      </c>
      <c r="I1883" s="1427"/>
      <c r="J1883" s="1480"/>
      <c r="K1883" s="1480"/>
      <c r="L1883" s="906"/>
      <c r="M1883" s="1480"/>
      <c r="N1883" s="1480"/>
      <c r="O1883" s="1477"/>
      <c r="P1883" s="1477"/>
      <c r="Q1883" s="1477"/>
      <c r="R1883" s="1480" t="s">
        <v>1550</v>
      </c>
      <c r="S1883" s="1477"/>
      <c r="T1883" s="1480" t="str">
        <f>IF(Q$832="Yes",15,"")</f>
        <v/>
      </c>
      <c r="U1883" s="1477"/>
      <c r="V1883" s="1477"/>
      <c r="W1883" s="1477"/>
      <c r="X1883" s="1477"/>
      <c r="Y1883" s="1477"/>
      <c r="Z1883" s="1477"/>
    </row>
    <row r="1884" spans="1:26"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80" t="s">
        <v>1526</v>
      </c>
      <c r="G1884" s="1480" t="str">
        <f t="shared" si="290"/>
        <v/>
      </c>
      <c r="H1884" s="1480" t="s">
        <v>2063</v>
      </c>
      <c r="I1884" s="1427"/>
      <c r="J1884" s="1480"/>
      <c r="K1884" s="1480"/>
      <c r="L1884" s="906"/>
      <c r="M1884" s="1480"/>
      <c r="N1884" s="1480"/>
      <c r="O1884" s="1477"/>
      <c r="P1884" s="1477"/>
      <c r="Q1884" s="1477"/>
      <c r="R1884" s="1480" t="s">
        <v>1550</v>
      </c>
      <c r="S1884" s="1477"/>
      <c r="T1884" s="1480" t="str">
        <f>IF(Q$862="Yes",16,"")</f>
        <v/>
      </c>
      <c r="U1884" s="1477"/>
      <c r="V1884" s="1477"/>
      <c r="W1884" s="1477"/>
      <c r="X1884" s="1477"/>
      <c r="Y1884" s="1477"/>
      <c r="Z1884" s="1477"/>
    </row>
    <row r="1885" spans="1:26"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80" t="s">
        <v>1526</v>
      </c>
      <c r="G1885" s="1480" t="str">
        <f t="shared" si="290"/>
        <v>Q</v>
      </c>
      <c r="H1885" s="1480" t="s">
        <v>2063</v>
      </c>
      <c r="I1885" s="1427"/>
      <c r="J1885" s="1480"/>
      <c r="K1885" s="1480"/>
      <c r="L1885" s="906"/>
      <c r="M1885" s="1480"/>
      <c r="N1885" s="1480"/>
      <c r="O1885" s="1477"/>
      <c r="P1885" s="1477"/>
      <c r="Q1885" s="1477"/>
      <c r="R1885" s="1480" t="s">
        <v>1715</v>
      </c>
      <c r="S1885" s="1477"/>
      <c r="T1885" s="1480">
        <f>IF(Q$987="Yes",22,"")</f>
        <v>22</v>
      </c>
      <c r="U1885" s="1477"/>
      <c r="V1885" s="1477"/>
      <c r="W1885" s="1477"/>
      <c r="X1885" s="1477"/>
      <c r="Y1885" s="1477"/>
      <c r="Z1885" s="1477"/>
    </row>
    <row r="1886" spans="1:26"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80" t="str">
        <f>IF(T1886&lt;&gt;"","R","")</f>
        <v>R</v>
      </c>
      <c r="H1886" s="1480" t="s">
        <v>2063</v>
      </c>
      <c r="I1886" s="242"/>
      <c r="J1886" s="1477"/>
      <c r="K1886" s="1477"/>
      <c r="L1886" s="1477"/>
      <c r="M1886" s="1477"/>
      <c r="N1886" s="1477"/>
      <c r="O1886" s="1477"/>
      <c r="P1886" s="1477"/>
      <c r="Q1886" s="1477"/>
      <c r="R1886" s="1480" t="s">
        <v>857</v>
      </c>
      <c r="S1886" s="1477"/>
      <c r="T1886" s="1480">
        <f>IF(Q$570="Yes",3,"")</f>
        <v>3</v>
      </c>
      <c r="U1886" s="1477"/>
      <c r="V1886" s="1477"/>
      <c r="W1886" s="1477"/>
      <c r="X1886" s="1477"/>
      <c r="Y1886" s="1477"/>
      <c r="Z1886" s="1477"/>
    </row>
    <row r="1887" spans="1:26"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80" t="str">
        <f t="shared" ref="G1887:G1899" si="293">IF(T1887&lt;&gt;"","R","")</f>
        <v/>
      </c>
      <c r="H1887" s="1480" t="s">
        <v>2063</v>
      </c>
      <c r="I1887" s="242"/>
      <c r="J1887" s="1477"/>
      <c r="K1887" s="1477"/>
      <c r="L1887" s="1477"/>
      <c r="M1887" s="1477"/>
      <c r="N1887" s="1477"/>
      <c r="O1887" s="1477"/>
      <c r="P1887" s="1477"/>
      <c r="Q1887" s="1477"/>
      <c r="R1887" s="1480" t="s">
        <v>857</v>
      </c>
      <c r="S1887" s="1477"/>
      <c r="T1887" s="1480" t="str">
        <f>IF(Q$589="Yes",4,"")</f>
        <v/>
      </c>
      <c r="U1887" s="1477"/>
      <c r="V1887" s="1477"/>
      <c r="W1887" s="1477"/>
      <c r="X1887" s="1477"/>
      <c r="Y1887" s="1477"/>
      <c r="Z1887" s="1477"/>
    </row>
    <row r="1888" spans="1:26"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80" t="str">
        <f t="shared" si="293"/>
        <v/>
      </c>
      <c r="H1888" s="1480" t="s">
        <v>2063</v>
      </c>
      <c r="I1888" s="242"/>
      <c r="J1888" s="1477"/>
      <c r="K1888" s="1477"/>
      <c r="L1888" s="1477"/>
      <c r="M1888" s="1477"/>
      <c r="N1888" s="1477"/>
      <c r="O1888" s="1477"/>
      <c r="P1888" s="1477"/>
      <c r="Q1888" s="1477"/>
      <c r="R1888" s="1480" t="s">
        <v>857</v>
      </c>
      <c r="S1888" s="1477"/>
      <c r="T1888" s="1480" t="str">
        <f>IF(Q$608="Yes",5,"")</f>
        <v/>
      </c>
      <c r="U1888" s="1477"/>
      <c r="V1888" s="1477"/>
      <c r="W1888" s="1477"/>
      <c r="X1888" s="1477"/>
      <c r="Y1888" s="1477"/>
      <c r="Z1888" s="1477"/>
    </row>
    <row r="1889" spans="1:26"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80" t="str">
        <f t="shared" si="293"/>
        <v/>
      </c>
      <c r="H1889" s="1480" t="s">
        <v>2063</v>
      </c>
      <c r="I1889" s="242"/>
      <c r="J1889" s="1477"/>
      <c r="K1889" s="1477"/>
      <c r="L1889" s="1477"/>
      <c r="M1889" s="1477"/>
      <c r="N1889" s="1477"/>
      <c r="O1889" s="1477"/>
      <c r="P1889" s="1477"/>
      <c r="Q1889" s="1477"/>
      <c r="R1889" s="1480" t="s">
        <v>857</v>
      </c>
      <c r="S1889" s="1477"/>
      <c r="T1889" s="1480" t="str">
        <f>IF(Q$639="Yes",6,"")</f>
        <v/>
      </c>
      <c r="U1889" s="1477"/>
      <c r="V1889" s="1477"/>
      <c r="W1889" s="1477"/>
      <c r="X1889" s="1477"/>
      <c r="Y1889" s="1477"/>
      <c r="Z1889" s="1477"/>
    </row>
    <row r="1890" spans="1:26"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80" t="str">
        <f t="shared" si="293"/>
        <v>R</v>
      </c>
      <c r="H1890" s="1480" t="s">
        <v>2063</v>
      </c>
      <c r="I1890" s="242"/>
      <c r="J1890" s="1477"/>
      <c r="K1890" s="1477"/>
      <c r="L1890" s="1477"/>
      <c r="M1890" s="1477"/>
      <c r="N1890" s="1477"/>
      <c r="O1890" s="1477"/>
      <c r="P1890" s="1477"/>
      <c r="Q1890" s="1477"/>
      <c r="R1890" s="1480" t="s">
        <v>1550</v>
      </c>
      <c r="S1890" s="1477"/>
      <c r="T1890" s="1480">
        <f t="shared" ref="T1890" si="294">IF(Q$892="Yes",17,"")</f>
        <v>17</v>
      </c>
      <c r="U1890" s="1477"/>
      <c r="V1890" s="1477"/>
      <c r="W1890" s="1477"/>
      <c r="X1890" s="1477"/>
      <c r="Y1890" s="1477"/>
      <c r="Z1890" s="1477"/>
    </row>
    <row r="1891" spans="1:26"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80" t="str">
        <f t="shared" si="293"/>
        <v/>
      </c>
      <c r="H1891" s="1480" t="s">
        <v>2063</v>
      </c>
      <c r="I1891" s="242"/>
      <c r="J1891" s="1477"/>
      <c r="K1891" s="1477"/>
      <c r="L1891" s="1477"/>
      <c r="M1891" s="1477"/>
      <c r="N1891" s="1477"/>
      <c r="O1891" s="1477"/>
      <c r="P1891" s="1477"/>
      <c r="Q1891" s="1477"/>
      <c r="R1891" s="1480" t="s">
        <v>1550</v>
      </c>
      <c r="S1891" s="1477"/>
      <c r="T1891" s="1480" t="str">
        <f>IF(Q$911="Yes",18,"")</f>
        <v/>
      </c>
      <c r="U1891" s="1477"/>
      <c r="V1891" s="1477"/>
      <c r="W1891" s="1477"/>
      <c r="X1891" s="1477"/>
      <c r="Y1891" s="1477"/>
      <c r="Z1891" s="1477"/>
    </row>
    <row r="1892" spans="1:26"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80" t="str">
        <f t="shared" si="293"/>
        <v/>
      </c>
      <c r="H1892" s="1480" t="s">
        <v>2063</v>
      </c>
      <c r="I1892" s="242"/>
      <c r="J1892" s="1477"/>
      <c r="K1892" s="1477"/>
      <c r="L1892" s="1477"/>
      <c r="M1892" s="1477"/>
      <c r="N1892" s="1477"/>
      <c r="O1892" s="1477"/>
      <c r="P1892" s="1477"/>
      <c r="Q1892" s="1477"/>
      <c r="R1892" s="1480" t="s">
        <v>1550</v>
      </c>
      <c r="S1892" s="1477"/>
      <c r="T1892" s="1480" t="str">
        <f>IF(Q$930="Yes",19,"")</f>
        <v/>
      </c>
      <c r="U1892" s="1477"/>
      <c r="V1892" s="1477"/>
      <c r="W1892" s="1477"/>
      <c r="X1892" s="1477"/>
      <c r="Y1892" s="1477"/>
      <c r="Z1892" s="1477"/>
    </row>
    <row r="1893" spans="1:26"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80" t="str">
        <f t="shared" si="293"/>
        <v/>
      </c>
      <c r="H1893" s="1480" t="s">
        <v>2063</v>
      </c>
      <c r="I1893" s="242"/>
      <c r="J1893" s="1477"/>
      <c r="K1893" s="1477"/>
      <c r="L1893" s="1477"/>
      <c r="M1893" s="1477"/>
      <c r="N1893" s="1477"/>
      <c r="O1893" s="1477"/>
      <c r="P1893" s="1477"/>
      <c r="Q1893" s="1477"/>
      <c r="R1893" s="1480" t="s">
        <v>1550</v>
      </c>
      <c r="S1893" s="1477"/>
      <c r="T1893" s="1480" t="str">
        <f>IF(Q$949="Yes",20,"")</f>
        <v/>
      </c>
      <c r="U1893" s="1477"/>
      <c r="V1893" s="1477"/>
      <c r="W1893" s="1477"/>
      <c r="X1893" s="1477"/>
      <c r="Y1893" s="1477"/>
      <c r="Z1893" s="1477"/>
    </row>
    <row r="1894" spans="1:26"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80" t="str">
        <f t="shared" si="293"/>
        <v/>
      </c>
      <c r="H1894" s="1480" t="s">
        <v>2063</v>
      </c>
      <c r="I1894" s="242"/>
      <c r="J1894" s="1477"/>
      <c r="K1894" s="1477"/>
      <c r="L1894" s="1477"/>
      <c r="M1894" s="1477"/>
      <c r="N1894" s="1477"/>
      <c r="O1894" s="1477"/>
      <c r="P1894" s="1477"/>
      <c r="Q1894" s="1477"/>
      <c r="R1894" s="1480" t="s">
        <v>396</v>
      </c>
      <c r="S1894" s="1477"/>
      <c r="T1894" s="1480" t="str">
        <f>IF(Q$968="Yes",21,"")</f>
        <v/>
      </c>
      <c r="U1894" s="1477"/>
      <c r="V1894" s="1477"/>
      <c r="W1894" s="1477"/>
      <c r="X1894" s="1477"/>
      <c r="Y1894" s="1477"/>
      <c r="Z1894" s="1477"/>
    </row>
    <row r="1895" spans="1:26"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80" t="str">
        <f t="shared" si="293"/>
        <v>R</v>
      </c>
      <c r="H1895" s="1480" t="s">
        <v>2063</v>
      </c>
      <c r="I1895" s="242"/>
      <c r="J1895" s="1477"/>
      <c r="K1895" s="1477"/>
      <c r="L1895" s="1477"/>
      <c r="M1895" s="1477"/>
      <c r="N1895" s="1477"/>
      <c r="O1895" s="1477"/>
      <c r="P1895" s="1477"/>
      <c r="Q1895" s="1477"/>
      <c r="R1895" s="1480" t="s">
        <v>396</v>
      </c>
      <c r="S1895" s="1477"/>
      <c r="T1895" s="1480">
        <f>IF(Q$796="Yes",13,"")</f>
        <v>13</v>
      </c>
      <c r="U1895" s="1477"/>
      <c r="V1895" s="1477"/>
      <c r="W1895" s="1477"/>
      <c r="X1895" s="1477"/>
      <c r="Y1895" s="1477"/>
      <c r="Z1895" s="1477"/>
    </row>
    <row r="1896" spans="1:26"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80" t="str">
        <f t="shared" si="293"/>
        <v/>
      </c>
      <c r="H1896" s="1480" t="s">
        <v>2063</v>
      </c>
      <c r="I1896" s="242"/>
      <c r="J1896" s="1477"/>
      <c r="K1896" s="1477"/>
      <c r="L1896" s="1477"/>
      <c r="M1896" s="1477"/>
      <c r="N1896" s="1477"/>
      <c r="O1896" s="1477"/>
      <c r="P1896" s="1477"/>
      <c r="Q1896" s="1477"/>
      <c r="R1896" s="1480" t="s">
        <v>396</v>
      </c>
      <c r="S1896" s="1477"/>
      <c r="T1896" s="1480" t="str">
        <f>IF(Q$814="Yes",14,"")</f>
        <v/>
      </c>
      <c r="U1896" s="1477"/>
      <c r="V1896" s="1477"/>
      <c r="W1896" s="1477"/>
      <c r="X1896" s="1477"/>
      <c r="Y1896" s="1477"/>
      <c r="Z1896" s="1477"/>
    </row>
    <row r="1897" spans="1:26"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80" t="str">
        <f t="shared" si="293"/>
        <v/>
      </c>
      <c r="H1897" s="1480" t="s">
        <v>2063</v>
      </c>
      <c r="I1897" s="242"/>
      <c r="J1897" s="1477"/>
      <c r="K1897" s="1477"/>
      <c r="L1897" s="1477"/>
      <c r="M1897" s="1477"/>
      <c r="N1897" s="1477"/>
      <c r="O1897" s="1477"/>
      <c r="P1897" s="1477"/>
      <c r="Q1897" s="1477"/>
      <c r="R1897" s="1480" t="s">
        <v>396</v>
      </c>
      <c r="S1897" s="1477"/>
      <c r="T1897" s="1480" t="str">
        <f>IF(Q$832="Yes",15,"")</f>
        <v/>
      </c>
      <c r="U1897" s="1477"/>
      <c r="V1897" s="1477"/>
      <c r="W1897" s="1477"/>
      <c r="X1897" s="1477"/>
      <c r="Y1897" s="1477"/>
      <c r="Z1897" s="1477"/>
    </row>
    <row r="1898" spans="1:26"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80" t="str">
        <f t="shared" si="293"/>
        <v/>
      </c>
      <c r="H1898" s="1480" t="s">
        <v>2063</v>
      </c>
      <c r="I1898" s="242"/>
      <c r="J1898" s="1477"/>
      <c r="K1898" s="1477"/>
      <c r="L1898" s="1477"/>
      <c r="M1898" s="1477"/>
      <c r="N1898" s="1477"/>
      <c r="O1898" s="1477"/>
      <c r="P1898" s="1477"/>
      <c r="Q1898" s="1477"/>
      <c r="R1898" s="1480" t="s">
        <v>396</v>
      </c>
      <c r="S1898" s="1477"/>
      <c r="T1898" s="1480" t="str">
        <f>IF(Q$862="Yes",16,"")</f>
        <v/>
      </c>
      <c r="U1898" s="1477"/>
      <c r="V1898" s="1477"/>
      <c r="W1898" s="1477"/>
      <c r="X1898" s="1477"/>
      <c r="Y1898" s="1477"/>
      <c r="Z1898" s="1477"/>
    </row>
    <row r="1899" spans="1:26"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80" t="str">
        <f t="shared" si="293"/>
        <v>R</v>
      </c>
      <c r="H1899" s="1480" t="s">
        <v>2063</v>
      </c>
      <c r="I1899" s="242"/>
      <c r="J1899" s="1477"/>
      <c r="K1899" s="1477"/>
      <c r="L1899" s="1477"/>
      <c r="M1899" s="1477"/>
      <c r="N1899" s="1477"/>
      <c r="O1899" s="1477"/>
      <c r="P1899" s="1477"/>
      <c r="Q1899" s="1477"/>
      <c r="R1899" s="1480" t="s">
        <v>1715</v>
      </c>
      <c r="S1899" s="1477"/>
      <c r="T1899" s="1480">
        <f>IF(Q$987="Yes",22,"")</f>
        <v>22</v>
      </c>
      <c r="U1899" s="1477"/>
      <c r="V1899" s="1477"/>
      <c r="W1899" s="1477"/>
      <c r="X1899" s="1477"/>
      <c r="Y1899" s="1477"/>
      <c r="Z1899" s="1477"/>
    </row>
    <row r="1900" spans="1:26"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80" t="str">
        <f>IF(T1900&lt;&gt;"","U","")</f>
        <v>U</v>
      </c>
      <c r="H1900" s="1480" t="s">
        <v>2063</v>
      </c>
      <c r="I1900" s="1427" t="str">
        <f t="shared" ref="I1900" si="295">IF(J1900&lt;&gt;"",A1900,"")</f>
        <v/>
      </c>
      <c r="J1900" s="1480"/>
      <c r="K1900" s="1480" t="str">
        <f t="shared" ref="K1900" si="296">IF(J1900&lt;&gt;"",E1900,"")</f>
        <v/>
      </c>
      <c r="L1900" s="906"/>
      <c r="M1900" s="1480"/>
      <c r="N1900" s="1480"/>
      <c r="O1900" s="1477"/>
      <c r="P1900" s="1477"/>
      <c r="Q1900" s="1477"/>
      <c r="R1900" s="1480" t="s">
        <v>1719</v>
      </c>
      <c r="S1900" s="1477"/>
      <c r="T1900" s="1480">
        <f t="shared" ref="T1900:T1905" si="297">IF(Q$1052="Yes",27,"")</f>
        <v>27</v>
      </c>
      <c r="U1900" s="1477"/>
      <c r="V1900" s="1477"/>
      <c r="W1900" s="1477"/>
      <c r="X1900" s="1477"/>
      <c r="Y1900" s="1477"/>
      <c r="Z1900" s="1477"/>
    </row>
    <row r="1901" spans="1:26"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80" t="s">
        <v>1493</v>
      </c>
      <c r="G1901" s="1480" t="str">
        <f>IF(T1901&lt;&gt;"","Z","")</f>
        <v>Z</v>
      </c>
      <c r="H1901" s="1480" t="s">
        <v>2063</v>
      </c>
      <c r="I1901" s="1427"/>
      <c r="J1901" s="1480"/>
      <c r="K1901" s="1480"/>
      <c r="L1901" s="906"/>
      <c r="M1901" s="1480"/>
      <c r="N1901" s="1480"/>
      <c r="O1901" s="1477"/>
      <c r="P1901" s="1477"/>
      <c r="Q1901" s="1477"/>
      <c r="R1901" s="1480" t="s">
        <v>1719</v>
      </c>
      <c r="S1901" s="1477"/>
      <c r="T1901" s="1480">
        <f t="shared" si="297"/>
        <v>27</v>
      </c>
      <c r="U1901" s="1477"/>
      <c r="V1901" s="1477"/>
      <c r="W1901" s="1477"/>
      <c r="X1901" s="1477"/>
      <c r="Y1901" s="1477"/>
      <c r="Z1901" s="1477"/>
    </row>
    <row r="1902" spans="1:26"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80" t="s">
        <v>1497</v>
      </c>
      <c r="G1902" s="1480" t="str">
        <f>IF(T1902&lt;&gt;"","V","")</f>
        <v>V</v>
      </c>
      <c r="H1902" s="1480" t="s">
        <v>2063</v>
      </c>
      <c r="I1902" s="1427"/>
      <c r="J1902" s="1480"/>
      <c r="K1902" s="1480"/>
      <c r="L1902" s="906" t="s">
        <v>1497</v>
      </c>
      <c r="M1902" s="1480">
        <v>1206</v>
      </c>
      <c r="N1902" s="1480"/>
      <c r="O1902" s="1477"/>
      <c r="P1902" s="1477"/>
      <c r="Q1902" s="1477"/>
      <c r="R1902" s="1480" t="s">
        <v>1719</v>
      </c>
      <c r="S1902" s="1477"/>
      <c r="T1902" s="1480">
        <f t="shared" si="297"/>
        <v>27</v>
      </c>
      <c r="U1902" s="1477"/>
      <c r="V1902" s="1477"/>
      <c r="W1902" s="1477"/>
      <c r="X1902" s="1477"/>
      <c r="Y1902" s="1477"/>
      <c r="Z1902" s="1477"/>
    </row>
    <row r="1903" spans="1:26"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80" t="s">
        <v>1143</v>
      </c>
      <c r="G1903" s="1480" t="str">
        <f>IF(T1903&lt;&gt;"","W","")</f>
        <v>W</v>
      </c>
      <c r="H1903" s="1480" t="s">
        <v>2063</v>
      </c>
      <c r="I1903" s="1427"/>
      <c r="J1903" s="1480"/>
      <c r="K1903" s="1480"/>
      <c r="L1903" s="906"/>
      <c r="M1903" s="1480"/>
      <c r="N1903" s="1480"/>
      <c r="O1903" s="1477"/>
      <c r="P1903" s="1477"/>
      <c r="Q1903" s="1477"/>
      <c r="R1903" s="1480" t="s">
        <v>1719</v>
      </c>
      <c r="S1903" s="1477"/>
      <c r="T1903" s="1480">
        <f t="shared" si="297"/>
        <v>27</v>
      </c>
      <c r="U1903" s="1477"/>
      <c r="V1903" s="1477"/>
      <c r="W1903" s="1477"/>
      <c r="X1903" s="1477"/>
      <c r="Y1903" s="1477"/>
      <c r="Z1903" s="1477"/>
    </row>
    <row r="1904" spans="1:26"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80" t="s">
        <v>1499</v>
      </c>
      <c r="G1904" s="1480" t="str">
        <f>IF(T1904&lt;&gt;"","X","")</f>
        <v>X</v>
      </c>
      <c r="H1904" s="1480" t="s">
        <v>2063</v>
      </c>
      <c r="I1904" s="1427"/>
      <c r="J1904" s="1480"/>
      <c r="K1904" s="1480"/>
      <c r="L1904" s="906"/>
      <c r="M1904" s="1480"/>
      <c r="N1904" s="1480"/>
      <c r="O1904" s="1477"/>
      <c r="P1904" s="1477"/>
      <c r="Q1904" s="1477"/>
      <c r="R1904" s="1480" t="s">
        <v>1719</v>
      </c>
      <c r="S1904" s="1477"/>
      <c r="T1904" s="1480">
        <f t="shared" si="297"/>
        <v>27</v>
      </c>
      <c r="U1904" s="1477"/>
      <c r="V1904" s="1477"/>
      <c r="W1904" s="1477"/>
      <c r="X1904" s="1477"/>
      <c r="Y1904" s="1477"/>
      <c r="Z1904" s="1477"/>
    </row>
    <row r="1905" spans="1:26"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80" t="s">
        <v>1142</v>
      </c>
      <c r="G1905" s="1480" t="str">
        <f>IF(T1905&lt;&gt;"","Y","")</f>
        <v>Y</v>
      </c>
      <c r="H1905" s="1480" t="s">
        <v>2063</v>
      </c>
      <c r="I1905" s="1427"/>
      <c r="J1905" s="1480"/>
      <c r="K1905" s="1480"/>
      <c r="L1905" s="906"/>
      <c r="M1905" s="1480"/>
      <c r="N1905" s="1480"/>
      <c r="O1905" s="1477"/>
      <c r="P1905" s="1477"/>
      <c r="Q1905" s="1477"/>
      <c r="R1905" s="1480" t="s">
        <v>1719</v>
      </c>
      <c r="S1905" s="1477"/>
      <c r="T1905" s="1480">
        <f t="shared" si="297"/>
        <v>27</v>
      </c>
      <c r="U1905" s="1477"/>
      <c r="V1905" s="1477"/>
      <c r="W1905" s="1477"/>
      <c r="X1905" s="1477"/>
      <c r="Y1905" s="1477"/>
      <c r="Z1905" s="1477"/>
    </row>
    <row r="1906" spans="1:26"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80" t="s">
        <v>1493</v>
      </c>
      <c r="G1906" s="1480" t="str">
        <f>IF(T1906&lt;&gt;"","Z","")</f>
        <v/>
      </c>
      <c r="H1906" s="1480" t="s">
        <v>2063</v>
      </c>
      <c r="I1906" s="1427"/>
      <c r="J1906" s="1480"/>
      <c r="K1906" s="1480"/>
      <c r="L1906" s="906"/>
      <c r="M1906" s="1480"/>
      <c r="N1906" s="1480"/>
      <c r="O1906" s="1477"/>
      <c r="P1906" s="1477"/>
      <c r="Q1906" s="1477"/>
      <c r="R1906" s="1480" t="s">
        <v>1719</v>
      </c>
      <c r="S1906" s="1477"/>
      <c r="T1906" s="1480" t="str">
        <f t="shared" ref="T1906:T1910" si="298">IF(Q$1069="Yes",28,"")</f>
        <v/>
      </c>
      <c r="U1906" s="1477"/>
      <c r="V1906" s="1477"/>
      <c r="W1906" s="1477"/>
      <c r="X1906" s="1477"/>
      <c r="Y1906" s="1477"/>
      <c r="Z1906" s="1477"/>
    </row>
    <row r="1907" spans="1:26"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80" t="s">
        <v>1497</v>
      </c>
      <c r="G1907" s="1480" t="str">
        <f>IF(T1907&lt;&gt;"","V","")</f>
        <v/>
      </c>
      <c r="H1907" s="1480" t="s">
        <v>2063</v>
      </c>
      <c r="I1907" s="1427"/>
      <c r="J1907" s="1480"/>
      <c r="K1907" s="1480"/>
      <c r="L1907" s="906" t="s">
        <v>1497</v>
      </c>
      <c r="M1907" s="1480">
        <v>1207</v>
      </c>
      <c r="N1907" s="1480"/>
      <c r="O1907" s="1477"/>
      <c r="P1907" s="1477"/>
      <c r="Q1907" s="1477"/>
      <c r="R1907" s="1480" t="s">
        <v>1719</v>
      </c>
      <c r="S1907" s="1477"/>
      <c r="T1907" s="1480" t="str">
        <f t="shared" si="298"/>
        <v/>
      </c>
      <c r="U1907" s="1477"/>
      <c r="V1907" s="1477"/>
      <c r="W1907" s="1477"/>
      <c r="X1907" s="1477"/>
      <c r="Y1907" s="1477"/>
      <c r="Z1907" s="1477"/>
    </row>
    <row r="1908" spans="1:26"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80" t="s">
        <v>1143</v>
      </c>
      <c r="G1908" s="1480" t="str">
        <f>IF(T1908&lt;&gt;"","W","")</f>
        <v/>
      </c>
      <c r="H1908" s="1480" t="s">
        <v>2063</v>
      </c>
      <c r="I1908" s="1427"/>
      <c r="J1908" s="1480"/>
      <c r="K1908" s="1480"/>
      <c r="L1908" s="906"/>
      <c r="M1908" s="1480"/>
      <c r="N1908" s="1480"/>
      <c r="O1908" s="1477"/>
      <c r="P1908" s="1477"/>
      <c r="Q1908" s="1477"/>
      <c r="R1908" s="1480" t="s">
        <v>1719</v>
      </c>
      <c r="S1908" s="1477"/>
      <c r="T1908" s="1480" t="str">
        <f t="shared" si="298"/>
        <v/>
      </c>
      <c r="U1908" s="1477"/>
      <c r="V1908" s="1477"/>
      <c r="W1908" s="1477"/>
      <c r="X1908" s="1477"/>
      <c r="Y1908" s="1477"/>
      <c r="Z1908" s="1477"/>
    </row>
    <row r="1909" spans="1:26"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80" t="s">
        <v>1499</v>
      </c>
      <c r="G1909" s="1480" t="str">
        <f>IF(T1909&lt;&gt;"","X","")</f>
        <v/>
      </c>
      <c r="H1909" s="1480" t="s">
        <v>2063</v>
      </c>
      <c r="I1909" s="1427"/>
      <c r="J1909" s="1480"/>
      <c r="K1909" s="1480"/>
      <c r="L1909" s="906"/>
      <c r="M1909" s="1480"/>
      <c r="N1909" s="1480"/>
      <c r="O1909" s="1477"/>
      <c r="P1909" s="1477"/>
      <c r="Q1909" s="1477"/>
      <c r="R1909" s="1480" t="s">
        <v>1719</v>
      </c>
      <c r="S1909" s="1477"/>
      <c r="T1909" s="1480" t="str">
        <f t="shared" si="298"/>
        <v/>
      </c>
      <c r="U1909" s="1477"/>
      <c r="V1909" s="1477"/>
      <c r="W1909" s="1477"/>
      <c r="X1909" s="1477"/>
      <c r="Y1909" s="1477"/>
      <c r="Z1909" s="1477"/>
    </row>
    <row r="1910" spans="1:26"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80" t="s">
        <v>1142</v>
      </c>
      <c r="G1910" s="1480" t="str">
        <f>IF(T1910&lt;&gt;"","Y","")</f>
        <v/>
      </c>
      <c r="H1910" s="1480" t="s">
        <v>2063</v>
      </c>
      <c r="I1910" s="1427"/>
      <c r="J1910" s="1480"/>
      <c r="K1910" s="1480"/>
      <c r="L1910" s="906"/>
      <c r="M1910" s="1480"/>
      <c r="N1910" s="1480"/>
      <c r="O1910" s="1477"/>
      <c r="P1910" s="1477"/>
      <c r="Q1910" s="1477"/>
      <c r="R1910" s="1480" t="s">
        <v>1719</v>
      </c>
      <c r="S1910" s="1477"/>
      <c r="T1910" s="1480" t="str">
        <f t="shared" si="298"/>
        <v/>
      </c>
      <c r="U1910" s="1477"/>
      <c r="V1910" s="1477"/>
      <c r="W1910" s="1477"/>
      <c r="X1910" s="1477"/>
      <c r="Y1910" s="1477"/>
      <c r="Z1910" s="1477"/>
    </row>
    <row r="1911" spans="1:26"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80" t="s">
        <v>2072</v>
      </c>
      <c r="G1911" s="1480" t="str">
        <f>IF(T1911&lt;&gt;"","AB","")</f>
        <v/>
      </c>
      <c r="H1911" s="1480" t="s">
        <v>2063</v>
      </c>
      <c r="I1911" s="1427" t="str">
        <f t="shared" ref="I1911:I1921" si="299">IF(J1911&lt;&gt;"",A1911,"")</f>
        <v/>
      </c>
      <c r="J1911" s="1480"/>
      <c r="K1911" s="1480" t="str">
        <f t="shared" ref="K1911:K1921" si="300">IF(J1911&lt;&gt;"",E1911,"")</f>
        <v/>
      </c>
      <c r="L1911" s="906" t="s">
        <v>1510</v>
      </c>
      <c r="M1911" s="1480">
        <v>987</v>
      </c>
      <c r="N1911" s="1480"/>
      <c r="O1911" s="1477" t="s">
        <v>728</v>
      </c>
      <c r="P1911" s="1477"/>
      <c r="Q1911" s="1477"/>
      <c r="R1911" s="1480" t="s">
        <v>483</v>
      </c>
      <c r="S1911" s="1477"/>
      <c r="T1911" s="1480" t="str">
        <f>IF(Q$1005="Yes",23,"")</f>
        <v/>
      </c>
      <c r="U1911" s="1477"/>
      <c r="V1911" s="1477"/>
      <c r="W1911" s="1477"/>
      <c r="X1911" s="1477"/>
      <c r="Y1911" s="1477"/>
      <c r="Z1911" s="1477"/>
    </row>
    <row r="1912" spans="1:26"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80" t="s">
        <v>2072</v>
      </c>
      <c r="G1912" s="1480" t="str">
        <f t="shared" ref="G1912:G1921" si="301">IF(T1912&lt;&gt;"","AB","")</f>
        <v/>
      </c>
      <c r="H1912" s="1480" t="s">
        <v>2063</v>
      </c>
      <c r="I1912" s="1427" t="str">
        <f t="shared" si="299"/>
        <v/>
      </c>
      <c r="J1912" s="1480"/>
      <c r="K1912" s="1480" t="str">
        <f t="shared" si="300"/>
        <v/>
      </c>
      <c r="L1912" s="906" t="s">
        <v>1510</v>
      </c>
      <c r="M1912" s="1480">
        <v>998</v>
      </c>
      <c r="N1912" s="1480"/>
      <c r="O1912" s="1477" t="s">
        <v>728</v>
      </c>
      <c r="P1912" s="1477"/>
      <c r="Q1912" s="1477"/>
      <c r="R1912" s="1480" t="s">
        <v>483</v>
      </c>
      <c r="S1912" s="1477"/>
      <c r="T1912" s="1480" t="str">
        <f>IF(Q$1016="Yes",24,"")</f>
        <v/>
      </c>
      <c r="U1912" s="1477"/>
      <c r="V1912" s="1477"/>
      <c r="W1912" s="1477"/>
      <c r="X1912" s="1477"/>
      <c r="Y1912" s="1477"/>
      <c r="Z1912" s="1477"/>
    </row>
    <row r="1913" spans="1:26"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80" t="s">
        <v>2072</v>
      </c>
      <c r="G1913" s="1480" t="str">
        <f t="shared" si="301"/>
        <v>AB</v>
      </c>
      <c r="H1913" s="1480" t="s">
        <v>2063</v>
      </c>
      <c r="I1913" s="1427" t="str">
        <f t="shared" si="299"/>
        <v/>
      </c>
      <c r="J1913" s="1480"/>
      <c r="K1913" s="1480" t="str">
        <f t="shared" si="300"/>
        <v/>
      </c>
      <c r="L1913" s="906" t="s">
        <v>1510</v>
      </c>
      <c r="M1913" s="1480">
        <v>1009</v>
      </c>
      <c r="N1913" s="1480"/>
      <c r="O1913" s="1477" t="s">
        <v>728</v>
      </c>
      <c r="P1913" s="1477"/>
      <c r="Q1913" s="1477"/>
      <c r="R1913" s="1480" t="s">
        <v>483</v>
      </c>
      <c r="S1913" s="1477"/>
      <c r="T1913" s="1480">
        <f>IF(Q$1027="Yes",25,"")</f>
        <v>25</v>
      </c>
      <c r="U1913" s="1477"/>
      <c r="V1913" s="1477"/>
      <c r="W1913" s="1477"/>
      <c r="X1913" s="1477"/>
      <c r="Y1913" s="1477"/>
      <c r="Z1913" s="1477"/>
    </row>
    <row r="1914" spans="1:26"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80" t="s">
        <v>2072</v>
      </c>
      <c r="G1914" s="1480" t="str">
        <f t="shared" si="301"/>
        <v>AB</v>
      </c>
      <c r="H1914" s="1480" t="s">
        <v>2063</v>
      </c>
      <c r="I1914" s="1427" t="str">
        <f t="shared" si="299"/>
        <v/>
      </c>
      <c r="J1914" s="1480"/>
      <c r="K1914" s="1480" t="str">
        <f t="shared" si="300"/>
        <v/>
      </c>
      <c r="L1914" s="906" t="s">
        <v>1510</v>
      </c>
      <c r="M1914" s="1480">
        <v>1034</v>
      </c>
      <c r="N1914" s="1480"/>
      <c r="O1914" s="1477" t="s">
        <v>728</v>
      </c>
      <c r="P1914" s="1477"/>
      <c r="Q1914" s="1477"/>
      <c r="R1914" s="1480" t="s">
        <v>1719</v>
      </c>
      <c r="S1914" s="1477"/>
      <c r="T1914" s="1480">
        <f>IF(Q$1052="Yes",27,"")</f>
        <v>27</v>
      </c>
      <c r="U1914" s="1477"/>
      <c r="V1914" s="1477"/>
      <c r="W1914" s="1477"/>
      <c r="X1914" s="1477"/>
      <c r="Y1914" s="1477"/>
      <c r="Z1914" s="1477"/>
    </row>
    <row r="1915" spans="1:26"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80" t="s">
        <v>2072</v>
      </c>
      <c r="G1915" s="1480" t="str">
        <f t="shared" si="301"/>
        <v/>
      </c>
      <c r="H1915" s="1480" t="s">
        <v>2063</v>
      </c>
      <c r="I1915" s="1427" t="str">
        <f t="shared" si="299"/>
        <v/>
      </c>
      <c r="J1915" s="1480"/>
      <c r="K1915" s="1480" t="str">
        <f t="shared" si="300"/>
        <v/>
      </c>
      <c r="L1915" s="906" t="s">
        <v>1510</v>
      </c>
      <c r="M1915" s="1480">
        <v>1051</v>
      </c>
      <c r="N1915" s="1480"/>
      <c r="O1915" s="1477" t="s">
        <v>728</v>
      </c>
      <c r="P1915" s="1477"/>
      <c r="Q1915" s="1477"/>
      <c r="R1915" s="1480" t="s">
        <v>1719</v>
      </c>
      <c r="S1915" s="1477"/>
      <c r="T1915" s="1480" t="str">
        <f>IF(Q$1069="Yes",28,"")</f>
        <v/>
      </c>
      <c r="U1915" s="1477"/>
      <c r="V1915" s="1477"/>
      <c r="W1915" s="1477"/>
      <c r="X1915" s="1477"/>
      <c r="Y1915" s="1477"/>
      <c r="Z1915" s="1477"/>
    </row>
    <row r="1916" spans="1:26"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80" t="s">
        <v>2072</v>
      </c>
      <c r="G1916" s="1480" t="str">
        <f t="shared" si="301"/>
        <v/>
      </c>
      <c r="H1916" s="1480" t="s">
        <v>2063</v>
      </c>
      <c r="I1916" s="1427" t="str">
        <f t="shared" si="299"/>
        <v/>
      </c>
      <c r="J1916" s="1480"/>
      <c r="K1916" s="1480" t="str">
        <f t="shared" si="300"/>
        <v/>
      </c>
      <c r="L1916" s="906" t="s">
        <v>1510</v>
      </c>
      <c r="M1916" s="1480">
        <v>1067</v>
      </c>
      <c r="N1916" s="1480"/>
      <c r="O1916" s="1477" t="s">
        <v>728</v>
      </c>
      <c r="P1916" s="1477"/>
      <c r="Q1916" s="1477"/>
      <c r="R1916" s="1480" t="s">
        <v>1107</v>
      </c>
      <c r="S1916" s="1477"/>
      <c r="T1916" s="1480" t="str">
        <f>IF(Q$1085="Yes",29,"")</f>
        <v/>
      </c>
      <c r="U1916" s="1477"/>
      <c r="V1916" s="1477"/>
      <c r="W1916" s="1477"/>
      <c r="X1916" s="1477"/>
      <c r="Y1916" s="1477"/>
      <c r="Z1916" s="1477"/>
    </row>
    <row r="1917" spans="1:26"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80" t="s">
        <v>2072</v>
      </c>
      <c r="G1917" s="1480" t="str">
        <f t="shared" si="301"/>
        <v/>
      </c>
      <c r="H1917" s="1480" t="s">
        <v>2063</v>
      </c>
      <c r="I1917" s="1427" t="str">
        <f t="shared" si="299"/>
        <v/>
      </c>
      <c r="J1917" s="1480"/>
      <c r="K1917" s="1480" t="str">
        <f t="shared" si="300"/>
        <v/>
      </c>
      <c r="L1917" s="906" t="s">
        <v>1510</v>
      </c>
      <c r="M1917" s="1480">
        <v>1077</v>
      </c>
      <c r="N1917" s="1480"/>
      <c r="O1917" s="1477" t="s">
        <v>728</v>
      </c>
      <c r="P1917" s="1477"/>
      <c r="Q1917" s="1477"/>
      <c r="R1917" s="1480" t="s">
        <v>1107</v>
      </c>
      <c r="S1917" s="1477"/>
      <c r="T1917" s="1480" t="str">
        <f>IF(Q$1095="Yes",30,"")</f>
        <v/>
      </c>
      <c r="U1917" s="1477"/>
      <c r="V1917" s="1477"/>
      <c r="W1917" s="1477"/>
      <c r="X1917" s="1477"/>
      <c r="Y1917" s="1477"/>
      <c r="Z1917" s="1477"/>
    </row>
    <row r="1918" spans="1:26"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80" t="s">
        <v>2072</v>
      </c>
      <c r="G1918" s="1480" t="str">
        <f t="shared" si="301"/>
        <v>AB</v>
      </c>
      <c r="H1918" s="1480" t="s">
        <v>2063</v>
      </c>
      <c r="I1918" s="1427" t="str">
        <f t="shared" si="299"/>
        <v/>
      </c>
      <c r="J1918" s="1480"/>
      <c r="K1918" s="1480" t="str">
        <f t="shared" si="300"/>
        <v/>
      </c>
      <c r="L1918" s="906" t="s">
        <v>1510</v>
      </c>
      <c r="M1918" s="1480">
        <v>1087</v>
      </c>
      <c r="N1918" s="1480"/>
      <c r="O1918" s="1477" t="s">
        <v>728</v>
      </c>
      <c r="P1918" s="1477"/>
      <c r="Q1918" s="1477"/>
      <c r="R1918" s="1480" t="s">
        <v>1107</v>
      </c>
      <c r="S1918" s="1477"/>
      <c r="T1918" s="1480">
        <f>IF(Q$1105="Yes",31,"")</f>
        <v>31</v>
      </c>
      <c r="U1918" s="1477"/>
      <c r="V1918" s="1477"/>
      <c r="W1918" s="1477"/>
      <c r="X1918" s="1477"/>
      <c r="Y1918" s="1477"/>
      <c r="Z1918" s="1477"/>
    </row>
    <row r="1919" spans="1:26"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80" t="s">
        <v>2072</v>
      </c>
      <c r="G1919" s="1480" t="str">
        <f t="shared" si="301"/>
        <v/>
      </c>
      <c r="H1919" s="1480" t="s">
        <v>2063</v>
      </c>
      <c r="I1919" s="1427" t="str">
        <f t="shared" si="299"/>
        <v/>
      </c>
      <c r="J1919" s="1480"/>
      <c r="K1919" s="1480" t="str">
        <f t="shared" si="300"/>
        <v/>
      </c>
      <c r="L1919" s="906" t="s">
        <v>1510</v>
      </c>
      <c r="M1919" s="1480">
        <v>1116</v>
      </c>
      <c r="N1919" s="1480"/>
      <c r="O1919" s="1477" t="s">
        <v>728</v>
      </c>
      <c r="P1919" s="1477"/>
      <c r="Q1919" s="1477"/>
      <c r="R1919" s="1480" t="s">
        <v>1107</v>
      </c>
      <c r="S1919" s="1477"/>
      <c r="T1919" s="1480" t="str">
        <f>IF(Q$1134="Yes",32,"")</f>
        <v/>
      </c>
      <c r="U1919" s="1477"/>
      <c r="V1919" s="1477"/>
      <c r="W1919" s="1477"/>
      <c r="X1919" s="1477"/>
      <c r="Y1919" s="1477"/>
      <c r="Z1919" s="1477"/>
    </row>
    <row r="1920" spans="1:26"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80" t="s">
        <v>2072</v>
      </c>
      <c r="G1920" s="1480" t="str">
        <f t="shared" si="301"/>
        <v/>
      </c>
      <c r="H1920" s="1480" t="s">
        <v>2063</v>
      </c>
      <c r="I1920" s="1427" t="str">
        <f t="shared" si="299"/>
        <v/>
      </c>
      <c r="J1920" s="1480"/>
      <c r="K1920" s="1480" t="str">
        <f t="shared" si="300"/>
        <v/>
      </c>
      <c r="L1920" s="906" t="s">
        <v>1510</v>
      </c>
      <c r="M1920" s="1480">
        <v>1145</v>
      </c>
      <c r="N1920" s="1480"/>
      <c r="O1920" s="1477" t="s">
        <v>728</v>
      </c>
      <c r="P1920" s="1477"/>
      <c r="Q1920" s="1477"/>
      <c r="R1920" s="1480" t="s">
        <v>1107</v>
      </c>
      <c r="S1920" s="1477"/>
      <c r="T1920" s="1480" t="str">
        <f>IF(Q$1163="Yes",33,"")</f>
        <v/>
      </c>
      <c r="U1920" s="1477"/>
      <c r="V1920" s="1477"/>
      <c r="W1920" s="1477"/>
      <c r="X1920" s="1477"/>
      <c r="Y1920" s="1477"/>
      <c r="Z1920" s="1477"/>
    </row>
    <row r="1921" spans="1:26"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80" t="s">
        <v>2072</v>
      </c>
      <c r="G1921" s="1480" t="str">
        <f t="shared" si="301"/>
        <v/>
      </c>
      <c r="H1921" s="1480" t="s">
        <v>2063</v>
      </c>
      <c r="I1921" s="1427" t="str">
        <f t="shared" si="299"/>
        <v/>
      </c>
      <c r="J1921" s="1480"/>
      <c r="K1921" s="1480" t="str">
        <f t="shared" si="300"/>
        <v/>
      </c>
      <c r="L1921" s="906" t="s">
        <v>1510</v>
      </c>
      <c r="M1921" s="1480">
        <v>1170</v>
      </c>
      <c r="N1921" s="1480"/>
      <c r="O1921" s="1477" t="s">
        <v>728</v>
      </c>
      <c r="P1921" s="1477"/>
      <c r="Q1921" s="1477"/>
      <c r="R1921" s="1480" t="s">
        <v>1107</v>
      </c>
      <c r="S1921" s="1477"/>
      <c r="T1921" s="1480" t="str">
        <f>IF(Q$1188="Yes",34,"")</f>
        <v/>
      </c>
      <c r="U1921" s="1477"/>
      <c r="V1921" s="1477"/>
      <c r="W1921" s="1477"/>
      <c r="X1921" s="1477"/>
      <c r="Y1921" s="1477"/>
      <c r="Z1921" s="1477"/>
    </row>
    <row r="1922" spans="1:26"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80" t="str">
        <f>IF(T1922&lt;&gt;"","AJ","")</f>
        <v>AJ</v>
      </c>
      <c r="H1922" s="1480" t="s">
        <v>2063</v>
      </c>
      <c r="I1922" s="1427"/>
      <c r="J1922" s="1480"/>
      <c r="K1922" s="1480"/>
      <c r="L1922" s="1480"/>
      <c r="M1922" s="1480"/>
      <c r="N1922" s="1480"/>
      <c r="O1922" s="1477"/>
      <c r="P1922" s="1477"/>
      <c r="Q1922" s="1477"/>
      <c r="R1922" s="1480" t="s">
        <v>857</v>
      </c>
      <c r="S1922" s="1477"/>
      <c r="T1922" s="1480">
        <f t="shared" ref="T1922" si="302">IF(Q$570="Yes",3,"")</f>
        <v>3</v>
      </c>
      <c r="U1922" s="1477"/>
      <c r="V1922" s="1477"/>
      <c r="W1922" s="1477"/>
      <c r="X1922" s="1477"/>
      <c r="Y1922" s="1477"/>
      <c r="Z1922" s="1477"/>
    </row>
    <row r="1923" spans="1:26"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80" t="str">
        <f t="shared" ref="G1923:G1933" si="303">IF(T1923&lt;&gt;"","AJ","")</f>
        <v/>
      </c>
      <c r="H1923" s="1480" t="s">
        <v>2063</v>
      </c>
      <c r="I1923" s="1427"/>
      <c r="J1923" s="1480"/>
      <c r="K1923" s="1480"/>
      <c r="L1923" s="1480"/>
      <c r="M1923" s="1480"/>
      <c r="N1923" s="1480"/>
      <c r="O1923" s="1477"/>
      <c r="P1923" s="1477"/>
      <c r="Q1923" s="1477"/>
      <c r="R1923" s="1480" t="s">
        <v>857</v>
      </c>
      <c r="S1923" s="1477"/>
      <c r="T1923" s="1480" t="str">
        <f t="shared" ref="T1923" si="304">IF(Q$589="Yes",4,"")</f>
        <v/>
      </c>
      <c r="U1923" s="1477"/>
      <c r="V1923" s="1477"/>
      <c r="W1923" s="1477"/>
      <c r="X1923" s="1477"/>
      <c r="Y1923" s="1477"/>
      <c r="Z1923" s="1477"/>
    </row>
    <row r="1924" spans="1:26"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80" t="str">
        <f t="shared" si="303"/>
        <v>AJ</v>
      </c>
      <c r="H1924" s="1480" t="s">
        <v>2063</v>
      </c>
      <c r="I1924" s="1427"/>
      <c r="J1924" s="1480"/>
      <c r="K1924" s="1480"/>
      <c r="L1924" s="1480"/>
      <c r="M1924" s="1480"/>
      <c r="N1924" s="1480"/>
      <c r="O1924" s="1477"/>
      <c r="P1924" s="1477"/>
      <c r="Q1924" s="1477"/>
      <c r="R1924" s="1480" t="s">
        <v>1544</v>
      </c>
      <c r="S1924" s="1477"/>
      <c r="T1924" s="1480">
        <f t="shared" ref="T1924" si="305">IF(Q$670="Yes",7,"")</f>
        <v>7</v>
      </c>
      <c r="U1924" s="1477"/>
      <c r="V1924" s="1477"/>
      <c r="W1924" s="1477"/>
      <c r="X1924" s="1477"/>
      <c r="Y1924" s="1477"/>
      <c r="Z1924" s="1477"/>
    </row>
    <row r="1925" spans="1:26"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80" t="str">
        <f t="shared" si="303"/>
        <v/>
      </c>
      <c r="H1925" s="1480" t="s">
        <v>2063</v>
      </c>
      <c r="I1925" s="1427"/>
      <c r="J1925" s="1480"/>
      <c r="K1925" s="1480"/>
      <c r="L1925" s="1480"/>
      <c r="M1925" s="1480"/>
      <c r="N1925" s="1480"/>
      <c r="O1925" s="1477"/>
      <c r="P1925" s="1477"/>
      <c r="Q1925" s="1477"/>
      <c r="R1925" s="1480" t="s">
        <v>1544</v>
      </c>
      <c r="S1925" s="1477"/>
      <c r="T1925" s="1480" t="str">
        <f t="shared" ref="T1925" si="306">IF(Q$688="Yes",8,"")</f>
        <v/>
      </c>
      <c r="U1925" s="1477"/>
      <c r="V1925" s="1477"/>
      <c r="W1925" s="1477"/>
      <c r="X1925" s="1477"/>
      <c r="Y1925" s="1477"/>
      <c r="Z1925" s="1477"/>
    </row>
    <row r="1926" spans="1:26"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80" t="str">
        <f t="shared" si="303"/>
        <v>AJ</v>
      </c>
      <c r="H1926" s="1480" t="s">
        <v>2063</v>
      </c>
      <c r="I1926" s="1427"/>
      <c r="J1926" s="1480"/>
      <c r="K1926" s="1480"/>
      <c r="L1926" s="1480"/>
      <c r="M1926" s="1480"/>
      <c r="N1926" s="1480"/>
      <c r="O1926" s="1477"/>
      <c r="P1926" s="1477"/>
      <c r="Q1926" s="1477"/>
      <c r="R1926" s="1480" t="s">
        <v>1550</v>
      </c>
      <c r="S1926" s="1477"/>
      <c r="T1926" s="1480">
        <f t="shared" ref="T1926" si="307">IF(Q$796="Yes",13,"")</f>
        <v>13</v>
      </c>
      <c r="U1926" s="1477"/>
      <c r="V1926" s="1477"/>
      <c r="W1926" s="1477"/>
      <c r="X1926" s="1477"/>
      <c r="Y1926" s="1477"/>
      <c r="Z1926" s="1477"/>
    </row>
    <row r="1927" spans="1:26"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80" t="str">
        <f t="shared" si="303"/>
        <v/>
      </c>
      <c r="H1927" s="1480" t="s">
        <v>2063</v>
      </c>
      <c r="I1927" s="1427"/>
      <c r="J1927" s="1480"/>
      <c r="K1927" s="1480"/>
      <c r="L1927" s="1480"/>
      <c r="M1927" s="1480"/>
      <c r="N1927" s="1480"/>
      <c r="O1927" s="1477"/>
      <c r="P1927" s="1477"/>
      <c r="Q1927" s="1477"/>
      <c r="R1927" s="1480" t="s">
        <v>1550</v>
      </c>
      <c r="S1927" s="1477"/>
      <c r="T1927" s="1480" t="str">
        <f t="shared" ref="T1927" si="308">IF(Q$814="Yes",14,"")</f>
        <v/>
      </c>
      <c r="U1927" s="1477"/>
      <c r="V1927" s="1477"/>
      <c r="W1927" s="1477"/>
      <c r="X1927" s="1477"/>
      <c r="Y1927" s="1477"/>
      <c r="Z1927" s="1477"/>
    </row>
    <row r="1928" spans="1:26"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80" t="str">
        <f t="shared" si="303"/>
        <v>AJ</v>
      </c>
      <c r="H1928" s="1480" t="s">
        <v>2063</v>
      </c>
      <c r="I1928" s="1427"/>
      <c r="J1928" s="1480"/>
      <c r="K1928" s="1480"/>
      <c r="L1928" s="1480"/>
      <c r="M1928" s="1480"/>
      <c r="N1928" s="1480"/>
      <c r="O1928" s="1477"/>
      <c r="P1928" s="1477"/>
      <c r="Q1928" s="1477"/>
      <c r="R1928" s="1480" t="s">
        <v>396</v>
      </c>
      <c r="S1928" s="1477"/>
      <c r="T1928" s="1480">
        <f t="shared" ref="T1928" si="309">IF(Q$892="Yes",17,"")</f>
        <v>17</v>
      </c>
      <c r="U1928" s="1477"/>
      <c r="V1928" s="1477"/>
      <c r="W1928" s="1477"/>
      <c r="X1928" s="1477"/>
      <c r="Y1928" s="1477"/>
      <c r="Z1928" s="1477"/>
    </row>
    <row r="1929" spans="1:26"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80" t="str">
        <f t="shared" si="303"/>
        <v/>
      </c>
      <c r="H1929" s="1480" t="s">
        <v>2063</v>
      </c>
      <c r="I1929" s="1427"/>
      <c r="J1929" s="1480"/>
      <c r="K1929" s="1480"/>
      <c r="L1929" s="1480"/>
      <c r="M1929" s="1480"/>
      <c r="N1929" s="1480"/>
      <c r="O1929" s="1477"/>
      <c r="P1929" s="1477"/>
      <c r="Q1929" s="1477"/>
      <c r="R1929" s="1480" t="s">
        <v>396</v>
      </c>
      <c r="S1929" s="1477"/>
      <c r="T1929" s="1480" t="str">
        <f t="shared" ref="T1929" si="310">IF(Q$911="Yes",18,"")</f>
        <v/>
      </c>
      <c r="U1929" s="1477"/>
      <c r="V1929" s="1477"/>
      <c r="W1929" s="1477"/>
      <c r="X1929" s="1477"/>
      <c r="Y1929" s="1477"/>
      <c r="Z1929" s="1477"/>
    </row>
    <row r="1930" spans="1:26"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80" t="str">
        <f t="shared" si="303"/>
        <v/>
      </c>
      <c r="H1930" s="1480" t="s">
        <v>2063</v>
      </c>
      <c r="I1930" s="1427"/>
      <c r="J1930" s="1480"/>
      <c r="K1930" s="1480"/>
      <c r="L1930" s="1480"/>
      <c r="M1930" s="1480"/>
      <c r="N1930" s="1480"/>
      <c r="O1930" s="1477"/>
      <c r="P1930" s="1477"/>
      <c r="Q1930" s="1477"/>
      <c r="R1930" s="1480" t="s">
        <v>396</v>
      </c>
      <c r="S1930" s="1477"/>
      <c r="T1930" s="1480" t="str">
        <f t="shared" ref="T1930" si="311">IF(Q$930="Yes",19,"")</f>
        <v/>
      </c>
      <c r="U1930" s="1477"/>
      <c r="V1930" s="1477"/>
      <c r="W1930" s="1477"/>
      <c r="X1930" s="1477"/>
      <c r="Y1930" s="1477"/>
      <c r="Z1930" s="1477"/>
    </row>
    <row r="1931" spans="1:26"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80" t="str">
        <f t="shared" si="303"/>
        <v/>
      </c>
      <c r="H1931" s="1480" t="s">
        <v>2063</v>
      </c>
      <c r="I1931" s="1427"/>
      <c r="J1931" s="1480"/>
      <c r="K1931" s="1480"/>
      <c r="L1931" s="1480"/>
      <c r="M1931" s="1480"/>
      <c r="N1931" s="1480"/>
      <c r="O1931" s="1477"/>
      <c r="P1931" s="1477"/>
      <c r="Q1931" s="1477"/>
      <c r="R1931" s="1480" t="s">
        <v>396</v>
      </c>
      <c r="S1931" s="1477"/>
      <c r="T1931" s="1480" t="str">
        <f t="shared" ref="T1931" si="312">IF(Q$949="Yes",20,"")</f>
        <v/>
      </c>
      <c r="U1931" s="1477"/>
      <c r="V1931" s="1477"/>
      <c r="W1931" s="1477"/>
      <c r="X1931" s="1477"/>
      <c r="Y1931" s="1477"/>
      <c r="Z1931" s="1477"/>
    </row>
    <row r="1932" spans="1:26"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80" t="str">
        <f t="shared" si="303"/>
        <v/>
      </c>
      <c r="H1932" s="1480" t="s">
        <v>2063</v>
      </c>
      <c r="I1932" s="1427"/>
      <c r="J1932" s="1480"/>
      <c r="K1932" s="1480"/>
      <c r="L1932" s="1480"/>
      <c r="M1932" s="1480"/>
      <c r="N1932" s="1480"/>
      <c r="O1932" s="1477"/>
      <c r="P1932" s="1477"/>
      <c r="Q1932" s="1477"/>
      <c r="R1932" s="1480" t="s">
        <v>396</v>
      </c>
      <c r="S1932" s="1477"/>
      <c r="T1932" s="1480" t="str">
        <f t="shared" ref="T1932" si="313">IF(Q$968="Yes",21,"")</f>
        <v/>
      </c>
      <c r="U1932" s="1477"/>
      <c r="V1932" s="1477"/>
      <c r="W1932" s="1477"/>
      <c r="X1932" s="1477"/>
      <c r="Y1932" s="1477"/>
      <c r="Z1932" s="1477"/>
    </row>
    <row r="1933" spans="1:26"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80" t="str">
        <f t="shared" si="303"/>
        <v>AJ</v>
      </c>
      <c r="H1933" s="1480" t="s">
        <v>2063</v>
      </c>
      <c r="I1933" s="1427"/>
      <c r="J1933" s="1480"/>
      <c r="K1933" s="1480"/>
      <c r="L1933" s="1480"/>
      <c r="M1933" s="1480"/>
      <c r="N1933" s="1480"/>
      <c r="O1933" s="1477"/>
      <c r="P1933" s="1477"/>
      <c r="Q1933" s="1477"/>
      <c r="R1933" s="1480" t="s">
        <v>1715</v>
      </c>
      <c r="S1933" s="1477"/>
      <c r="T1933" s="1480">
        <f t="shared" ref="T1933" si="314">IF(Q$987="Yes",22,"")</f>
        <v>22</v>
      </c>
      <c r="U1933" s="1477"/>
      <c r="V1933" s="1477"/>
      <c r="W1933" s="1477"/>
      <c r="X1933" s="1477"/>
      <c r="Y1933" s="1477"/>
      <c r="Z1933" s="1477"/>
    </row>
    <row r="1934" spans="1:26"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80" t="s">
        <v>1623</v>
      </c>
      <c r="G1934" s="1480" t="str">
        <f>IF(T1934&lt;&gt;"","AP","")</f>
        <v/>
      </c>
      <c r="H1934" s="1480" t="s">
        <v>2063</v>
      </c>
      <c r="I1934" s="1427" t="str">
        <f t="shared" ref="I1934:I1944" si="315">IF(J1934&lt;&gt;"",A1934,"")</f>
        <v/>
      </c>
      <c r="J1934" s="1480"/>
      <c r="K1934" s="1480" t="str">
        <f t="shared" ref="K1934:K1944" si="316">IF(J1934&lt;&gt;"",E1934,"")</f>
        <v/>
      </c>
      <c r="L1934" s="906"/>
      <c r="M1934" s="1480"/>
      <c r="N1934" s="1480"/>
      <c r="O1934" s="1477"/>
      <c r="P1934" s="1477"/>
      <c r="Q1934" s="1477"/>
      <c r="R1934" s="1480" t="s">
        <v>483</v>
      </c>
      <c r="S1934" s="1477"/>
      <c r="T1934" s="1480" t="str">
        <f>IF(Q$1005="Yes",23,"")</f>
        <v/>
      </c>
      <c r="U1934" s="1477"/>
      <c r="V1934" s="1477"/>
      <c r="W1934" s="1477"/>
      <c r="X1934" s="1477"/>
      <c r="Y1934" s="1477"/>
      <c r="Z1934" s="1477"/>
    </row>
    <row r="1935" spans="1:26"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80" t="s">
        <v>1623</v>
      </c>
      <c r="G1935" s="1480" t="str">
        <f t="shared" ref="G1935:G1944" si="317">IF(T1935&lt;&gt;"","AP","")</f>
        <v/>
      </c>
      <c r="H1935" s="1480" t="s">
        <v>2063</v>
      </c>
      <c r="I1935" s="1427" t="str">
        <f t="shared" si="315"/>
        <v/>
      </c>
      <c r="J1935" s="1480"/>
      <c r="K1935" s="1480" t="str">
        <f t="shared" si="316"/>
        <v/>
      </c>
      <c r="L1935" s="906"/>
      <c r="M1935" s="1480"/>
      <c r="N1935" s="1480"/>
      <c r="O1935" s="1477"/>
      <c r="P1935" s="1477"/>
      <c r="Q1935" s="1477"/>
      <c r="R1935" s="1480" t="s">
        <v>483</v>
      </c>
      <c r="S1935" s="1477"/>
      <c r="T1935" s="1480" t="str">
        <f>IF(Q$1016="Yes",24,"")</f>
        <v/>
      </c>
      <c r="U1935" s="1477"/>
      <c r="V1935" s="1477"/>
      <c r="W1935" s="1477"/>
      <c r="X1935" s="1477"/>
      <c r="Y1935" s="1477"/>
      <c r="Z1935" s="1477"/>
    </row>
    <row r="1936" spans="1:26"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80" t="s">
        <v>1623</v>
      </c>
      <c r="G1936" s="1480" t="str">
        <f t="shared" si="317"/>
        <v>AP</v>
      </c>
      <c r="H1936" s="1480" t="s">
        <v>2063</v>
      </c>
      <c r="I1936" s="1427" t="str">
        <f t="shared" si="315"/>
        <v/>
      </c>
      <c r="J1936" s="1480"/>
      <c r="K1936" s="1480" t="str">
        <f t="shared" si="316"/>
        <v/>
      </c>
      <c r="L1936" s="906"/>
      <c r="M1936" s="1480"/>
      <c r="N1936" s="1480"/>
      <c r="O1936" s="1477"/>
      <c r="P1936" s="1477"/>
      <c r="Q1936" s="1477"/>
      <c r="R1936" s="1480" t="s">
        <v>483</v>
      </c>
      <c r="S1936" s="1477"/>
      <c r="T1936" s="1480">
        <f>IF(Q$1027="Yes",25,"")</f>
        <v>25</v>
      </c>
      <c r="U1936" s="1477"/>
      <c r="V1936" s="1477"/>
      <c r="W1936" s="1477"/>
      <c r="X1936" s="1477"/>
      <c r="Y1936" s="1477"/>
      <c r="Z1936" s="1477"/>
    </row>
    <row r="1937" spans="1:26"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80" t="s">
        <v>1623</v>
      </c>
      <c r="G1937" s="1480" t="str">
        <f t="shared" si="317"/>
        <v>AP</v>
      </c>
      <c r="H1937" s="1480" t="s">
        <v>2063</v>
      </c>
      <c r="I1937" s="1427" t="str">
        <f t="shared" si="315"/>
        <v/>
      </c>
      <c r="J1937" s="1480"/>
      <c r="K1937" s="1480" t="str">
        <f t="shared" si="316"/>
        <v/>
      </c>
      <c r="L1937" s="906"/>
      <c r="M1937" s="1480"/>
      <c r="N1937" s="1480"/>
      <c r="O1937" s="1477"/>
      <c r="P1937" s="1477"/>
      <c r="Q1937" s="1477"/>
      <c r="R1937" s="1480" t="s">
        <v>1719</v>
      </c>
      <c r="S1937" s="1477"/>
      <c r="T1937" s="1480">
        <f>IF(Q$1052="Yes",27,"")</f>
        <v>27</v>
      </c>
      <c r="U1937" s="1477"/>
      <c r="V1937" s="1477"/>
      <c r="W1937" s="1477"/>
      <c r="X1937" s="1477"/>
      <c r="Y1937" s="1477"/>
      <c r="Z1937" s="1477"/>
    </row>
    <row r="1938" spans="1:26"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80" t="s">
        <v>1623</v>
      </c>
      <c r="G1938" s="1480" t="str">
        <f t="shared" si="317"/>
        <v/>
      </c>
      <c r="H1938" s="1480" t="s">
        <v>2063</v>
      </c>
      <c r="I1938" s="1427" t="str">
        <f t="shared" si="315"/>
        <v/>
      </c>
      <c r="J1938" s="1480"/>
      <c r="K1938" s="1480" t="str">
        <f t="shared" si="316"/>
        <v/>
      </c>
      <c r="L1938" s="906"/>
      <c r="M1938" s="1480"/>
      <c r="N1938" s="1480"/>
      <c r="O1938" s="1477"/>
      <c r="P1938" s="1477"/>
      <c r="Q1938" s="1477"/>
      <c r="R1938" s="1480" t="s">
        <v>1719</v>
      </c>
      <c r="S1938" s="1477"/>
      <c r="T1938" s="1480" t="str">
        <f>IF(Q$1069="Yes",28,"")</f>
        <v/>
      </c>
      <c r="U1938" s="1477"/>
      <c r="V1938" s="1477"/>
      <c r="W1938" s="1477"/>
      <c r="X1938" s="1477"/>
      <c r="Y1938" s="1477"/>
      <c r="Z1938" s="1477"/>
    </row>
    <row r="1939" spans="1:26"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80" t="s">
        <v>1623</v>
      </c>
      <c r="G1939" s="1480" t="str">
        <f t="shared" si="317"/>
        <v/>
      </c>
      <c r="H1939" s="1480" t="s">
        <v>2063</v>
      </c>
      <c r="I1939" s="1427" t="str">
        <f t="shared" si="315"/>
        <v/>
      </c>
      <c r="J1939" s="1480"/>
      <c r="K1939" s="1480" t="str">
        <f t="shared" si="316"/>
        <v/>
      </c>
      <c r="L1939" s="906"/>
      <c r="M1939" s="1480"/>
      <c r="N1939" s="1480"/>
      <c r="O1939" s="1477"/>
      <c r="P1939" s="1477"/>
      <c r="Q1939" s="1477"/>
      <c r="R1939" s="1480" t="s">
        <v>1107</v>
      </c>
      <c r="S1939" s="1477"/>
      <c r="T1939" s="1480" t="str">
        <f>IF(Q$1085="Yes",29,"")</f>
        <v/>
      </c>
      <c r="U1939" s="1477"/>
      <c r="V1939" s="1477"/>
      <c r="W1939" s="1477"/>
      <c r="X1939" s="1477"/>
      <c r="Y1939" s="1477"/>
      <c r="Z1939" s="1477"/>
    </row>
    <row r="1940" spans="1:26"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80" t="s">
        <v>1623</v>
      </c>
      <c r="G1940" s="1480" t="str">
        <f t="shared" si="317"/>
        <v/>
      </c>
      <c r="H1940" s="1480" t="s">
        <v>2063</v>
      </c>
      <c r="I1940" s="1427" t="str">
        <f t="shared" si="315"/>
        <v/>
      </c>
      <c r="J1940" s="1480"/>
      <c r="K1940" s="1480" t="str">
        <f t="shared" si="316"/>
        <v/>
      </c>
      <c r="L1940" s="906"/>
      <c r="M1940" s="1480"/>
      <c r="N1940" s="1480"/>
      <c r="O1940" s="1477"/>
      <c r="P1940" s="1477"/>
      <c r="Q1940" s="1477"/>
      <c r="R1940" s="1480" t="s">
        <v>1107</v>
      </c>
      <c r="S1940" s="1477"/>
      <c r="T1940" s="1480" t="str">
        <f>IF(Q$1095="Yes",30,"")</f>
        <v/>
      </c>
      <c r="U1940" s="1477"/>
      <c r="V1940" s="1477"/>
      <c r="W1940" s="1477"/>
      <c r="X1940" s="1477"/>
      <c r="Y1940" s="1477"/>
      <c r="Z1940" s="1477"/>
    </row>
    <row r="1941" spans="1:26"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80" t="s">
        <v>1623</v>
      </c>
      <c r="G1941" s="1480" t="str">
        <f t="shared" si="317"/>
        <v>AP</v>
      </c>
      <c r="H1941" s="1480" t="s">
        <v>2063</v>
      </c>
      <c r="I1941" s="1427" t="str">
        <f t="shared" si="315"/>
        <v/>
      </c>
      <c r="J1941" s="1480"/>
      <c r="K1941" s="1480" t="str">
        <f t="shared" si="316"/>
        <v/>
      </c>
      <c r="L1941" s="906"/>
      <c r="M1941" s="1480"/>
      <c r="N1941" s="1480"/>
      <c r="O1941" s="1477"/>
      <c r="P1941" s="1477"/>
      <c r="Q1941" s="1477"/>
      <c r="R1941" s="1480" t="s">
        <v>1107</v>
      </c>
      <c r="S1941" s="1477"/>
      <c r="T1941" s="1480">
        <f>IF(Q$1105="Yes",31,"")</f>
        <v>31</v>
      </c>
      <c r="U1941" s="1477"/>
      <c r="V1941" s="1477"/>
      <c r="W1941" s="1477"/>
      <c r="X1941" s="1477"/>
      <c r="Y1941" s="1477"/>
      <c r="Z1941" s="1477"/>
    </row>
    <row r="1942" spans="1:26"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80" t="s">
        <v>1623</v>
      </c>
      <c r="G1942" s="1480" t="str">
        <f t="shared" si="317"/>
        <v/>
      </c>
      <c r="H1942" s="1480" t="s">
        <v>2063</v>
      </c>
      <c r="I1942" s="1427" t="str">
        <f t="shared" si="315"/>
        <v/>
      </c>
      <c r="J1942" s="1480"/>
      <c r="K1942" s="1480" t="str">
        <f t="shared" si="316"/>
        <v/>
      </c>
      <c r="L1942" s="906"/>
      <c r="M1942" s="1480"/>
      <c r="N1942" s="1480"/>
      <c r="O1942" s="1477"/>
      <c r="P1942" s="1477"/>
      <c r="Q1942" s="1477"/>
      <c r="R1942" s="1480" t="s">
        <v>1107</v>
      </c>
      <c r="S1942" s="1477"/>
      <c r="T1942" s="1480" t="str">
        <f>IF(Q$1134="Yes",32,"")</f>
        <v/>
      </c>
      <c r="U1942" s="1477"/>
      <c r="V1942" s="1477"/>
      <c r="W1942" s="1477"/>
      <c r="X1942" s="1477"/>
      <c r="Y1942" s="1477"/>
      <c r="Z1942" s="1477"/>
    </row>
    <row r="1943" spans="1:26"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80" t="s">
        <v>1623</v>
      </c>
      <c r="G1943" s="1480" t="str">
        <f t="shared" si="317"/>
        <v/>
      </c>
      <c r="H1943" s="1480" t="s">
        <v>2063</v>
      </c>
      <c r="I1943" s="1427" t="str">
        <f t="shared" si="315"/>
        <v/>
      </c>
      <c r="J1943" s="1480"/>
      <c r="K1943" s="1480" t="str">
        <f t="shared" si="316"/>
        <v/>
      </c>
      <c r="L1943" s="906"/>
      <c r="M1943" s="1480"/>
      <c r="N1943" s="1480"/>
      <c r="O1943" s="1477"/>
      <c r="P1943" s="1477"/>
      <c r="Q1943" s="1477"/>
      <c r="R1943" s="1480" t="s">
        <v>1107</v>
      </c>
      <c r="S1943" s="1477"/>
      <c r="T1943" s="1480" t="str">
        <f>IF(Q$1163="Yes",33,"")</f>
        <v/>
      </c>
      <c r="U1943" s="1477"/>
      <c r="V1943" s="1477"/>
      <c r="W1943" s="1477"/>
      <c r="X1943" s="1477"/>
      <c r="Y1943" s="1477"/>
      <c r="Z1943" s="1477"/>
    </row>
    <row r="1944" spans="1:26"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80" t="s">
        <v>1623</v>
      </c>
      <c r="G1944" s="1480" t="str">
        <f t="shared" si="317"/>
        <v/>
      </c>
      <c r="H1944" s="1480" t="s">
        <v>2063</v>
      </c>
      <c r="I1944" s="1427" t="str">
        <f t="shared" si="315"/>
        <v/>
      </c>
      <c r="J1944" s="1480"/>
      <c r="K1944" s="1480" t="str">
        <f t="shared" si="316"/>
        <v/>
      </c>
      <c r="L1944" s="906"/>
      <c r="M1944" s="1480"/>
      <c r="N1944" s="1480"/>
      <c r="O1944" s="1477"/>
      <c r="P1944" s="1477"/>
      <c r="Q1944" s="1477"/>
      <c r="R1944" s="1480" t="s">
        <v>1107</v>
      </c>
      <c r="S1944" s="1477"/>
      <c r="T1944" s="1480" t="str">
        <f>IF(Q$1188="Yes",34,"")</f>
        <v/>
      </c>
      <c r="U1944" s="1477"/>
      <c r="V1944" s="1477"/>
      <c r="W1944" s="1477"/>
      <c r="X1944" s="1477"/>
      <c r="Y1944" s="1477"/>
      <c r="Z1944" s="1477"/>
    </row>
    <row r="1945" spans="1:26"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80" t="s">
        <v>1528</v>
      </c>
      <c r="G1945" s="1480" t="str">
        <f>IF(T1945&lt;&gt;"","AR","")</f>
        <v>AR</v>
      </c>
      <c r="H1945" s="1480" t="s">
        <v>2063</v>
      </c>
      <c r="I1945" s="1427"/>
      <c r="J1945" s="1480"/>
      <c r="K1945" s="1480"/>
      <c r="L1945" s="906"/>
      <c r="M1945" s="1480"/>
      <c r="N1945" s="1480"/>
      <c r="O1945" s="1477"/>
      <c r="P1945" s="1477"/>
      <c r="Q1945" s="1477"/>
      <c r="R1945" s="1480" t="s">
        <v>857</v>
      </c>
      <c r="S1945" s="1477"/>
      <c r="T1945" s="1480">
        <f>IF(Q$570="Yes",3,"")</f>
        <v>3</v>
      </c>
      <c r="U1945" s="1477"/>
      <c r="V1945" s="1477"/>
      <c r="W1945" s="1477"/>
      <c r="X1945" s="1477"/>
      <c r="Y1945" s="1477"/>
      <c r="Z1945" s="1477"/>
    </row>
    <row r="1946" spans="1:26"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80" t="s">
        <v>1528</v>
      </c>
      <c r="G1946" s="1480" t="str">
        <f t="shared" ref="G1946:G1953" si="318">IF(T1946&lt;&gt;"","AR","")</f>
        <v/>
      </c>
      <c r="H1946" s="1480" t="s">
        <v>2063</v>
      </c>
      <c r="I1946" s="1427"/>
      <c r="J1946" s="1480"/>
      <c r="K1946" s="1480"/>
      <c r="L1946" s="906"/>
      <c r="M1946" s="1480"/>
      <c r="N1946" s="1480"/>
      <c r="O1946" s="1477"/>
      <c r="P1946" s="1477"/>
      <c r="Q1946" s="1477"/>
      <c r="R1946" s="1480" t="s">
        <v>857</v>
      </c>
      <c r="S1946" s="1477"/>
      <c r="T1946" s="1480" t="str">
        <f>IF(Q$589="Yes",4,"")</f>
        <v/>
      </c>
      <c r="U1946" s="1477"/>
      <c r="V1946" s="1477"/>
      <c r="W1946" s="1477"/>
      <c r="X1946" s="1477"/>
      <c r="Y1946" s="1477"/>
      <c r="Z1946" s="1477"/>
    </row>
    <row r="1947" spans="1:26"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80" t="s">
        <v>1528</v>
      </c>
      <c r="G1947" s="1480" t="str">
        <f t="shared" si="318"/>
        <v/>
      </c>
      <c r="H1947" s="1480" t="s">
        <v>2063</v>
      </c>
      <c r="I1947" s="1427"/>
      <c r="J1947" s="1480"/>
      <c r="K1947" s="1480"/>
      <c r="L1947" s="906"/>
      <c r="M1947" s="1480"/>
      <c r="N1947" s="1480"/>
      <c r="O1947" s="1477"/>
      <c r="P1947" s="1477"/>
      <c r="Q1947" s="1477"/>
      <c r="R1947" s="623" t="s">
        <v>857</v>
      </c>
      <c r="S1947" s="1477"/>
      <c r="T1947" s="1480" t="str">
        <f t="shared" ref="T1947" si="319">IF(Q$608="Yes",5,"")</f>
        <v/>
      </c>
      <c r="U1947" s="1477"/>
      <c r="V1947" s="1477"/>
      <c r="W1947" s="1477"/>
      <c r="X1947" s="1477"/>
      <c r="Y1947" s="1477"/>
      <c r="Z1947" s="1477"/>
    </row>
    <row r="1948" spans="1:26"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80" t="s">
        <v>1528</v>
      </c>
      <c r="G1948" s="1480" t="str">
        <f t="shared" si="318"/>
        <v/>
      </c>
      <c r="H1948" s="1480" t="s">
        <v>2063</v>
      </c>
      <c r="I1948" s="1427"/>
      <c r="J1948" s="1480"/>
      <c r="K1948" s="1480"/>
      <c r="L1948" s="906"/>
      <c r="M1948" s="1480"/>
      <c r="N1948" s="1480"/>
      <c r="O1948" s="1477"/>
      <c r="P1948" s="1477"/>
      <c r="Q1948" s="1477"/>
      <c r="R1948" s="623" t="s">
        <v>857</v>
      </c>
      <c r="S1948" s="1477"/>
      <c r="T1948" s="1480" t="str">
        <f>IF(Q$639="Yes",6,"")</f>
        <v/>
      </c>
      <c r="U1948" s="1477"/>
      <c r="V1948" s="1477"/>
      <c r="W1948" s="1477"/>
      <c r="X1948" s="1477"/>
      <c r="Y1948" s="1477"/>
      <c r="Z1948" s="1477"/>
    </row>
    <row r="1949" spans="1:26"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80" t="s">
        <v>1528</v>
      </c>
      <c r="G1949" s="1480" t="str">
        <f t="shared" si="318"/>
        <v>AR</v>
      </c>
      <c r="H1949" s="1480" t="s">
        <v>2063</v>
      </c>
      <c r="I1949" s="1427"/>
      <c r="J1949" s="1480"/>
      <c r="K1949" s="1480"/>
      <c r="L1949" s="906"/>
      <c r="M1949" s="1480"/>
      <c r="N1949" s="1480"/>
      <c r="O1949" s="1477"/>
      <c r="P1949" s="1477"/>
      <c r="Q1949" s="1477"/>
      <c r="R1949" s="1480" t="s">
        <v>396</v>
      </c>
      <c r="S1949" s="1477"/>
      <c r="T1949" s="1480">
        <f t="shared" ref="T1949" si="320">IF(Q$892="Yes",17,"")</f>
        <v>17</v>
      </c>
      <c r="U1949" s="1477"/>
      <c r="V1949" s="1477"/>
      <c r="W1949" s="1477"/>
      <c r="X1949" s="1477"/>
      <c r="Y1949" s="1477"/>
      <c r="Z1949" s="1477"/>
    </row>
    <row r="1950" spans="1:26"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80" t="s">
        <v>1528</v>
      </c>
      <c r="G1950" s="1480" t="str">
        <f t="shared" si="318"/>
        <v/>
      </c>
      <c r="H1950" s="1480" t="s">
        <v>2063</v>
      </c>
      <c r="I1950" s="1427"/>
      <c r="J1950" s="1480"/>
      <c r="K1950" s="1480"/>
      <c r="L1950" s="906"/>
      <c r="M1950" s="1480"/>
      <c r="N1950" s="1480"/>
      <c r="O1950" s="1477"/>
      <c r="P1950" s="1477"/>
      <c r="Q1950" s="1477"/>
      <c r="R1950" s="1480" t="s">
        <v>396</v>
      </c>
      <c r="S1950" s="1477"/>
      <c r="T1950" s="1480" t="str">
        <f>IF(Q$911="Yes",18,"")</f>
        <v/>
      </c>
      <c r="U1950" s="1477"/>
      <c r="V1950" s="1477"/>
      <c r="W1950" s="1477"/>
      <c r="X1950" s="1477"/>
      <c r="Y1950" s="1477"/>
      <c r="Z1950" s="1477"/>
    </row>
    <row r="1951" spans="1:26"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80" t="s">
        <v>1528</v>
      </c>
      <c r="G1951" s="1480" t="str">
        <f t="shared" si="318"/>
        <v/>
      </c>
      <c r="H1951" s="1480" t="s">
        <v>2063</v>
      </c>
      <c r="I1951" s="1427"/>
      <c r="J1951" s="1480"/>
      <c r="K1951" s="1480"/>
      <c r="L1951" s="906"/>
      <c r="M1951" s="1480"/>
      <c r="N1951" s="1480"/>
      <c r="O1951" s="1477"/>
      <c r="P1951" s="1477"/>
      <c r="Q1951" s="1477"/>
      <c r="R1951" s="1480" t="s">
        <v>396</v>
      </c>
      <c r="S1951" s="1477"/>
      <c r="T1951" s="1480" t="str">
        <f>IF(Q$930="Yes",19,"")</f>
        <v/>
      </c>
      <c r="U1951" s="1477"/>
      <c r="V1951" s="1477"/>
      <c r="W1951" s="1477"/>
      <c r="X1951" s="1477"/>
      <c r="Y1951" s="1477"/>
      <c r="Z1951" s="1477"/>
    </row>
    <row r="1952" spans="1:26"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80" t="s">
        <v>1528</v>
      </c>
      <c r="G1952" s="1480" t="str">
        <f t="shared" si="318"/>
        <v/>
      </c>
      <c r="H1952" s="1480" t="s">
        <v>2063</v>
      </c>
      <c r="I1952" s="1427"/>
      <c r="J1952" s="1480"/>
      <c r="K1952" s="1480"/>
      <c r="L1952" s="906"/>
      <c r="M1952" s="1480"/>
      <c r="N1952" s="1480"/>
      <c r="O1952" s="1477"/>
      <c r="P1952" s="1477"/>
      <c r="Q1952" s="1477"/>
      <c r="R1952" s="1480" t="s">
        <v>396</v>
      </c>
      <c r="S1952" s="1477"/>
      <c r="T1952" s="1480" t="str">
        <f>IF(Q$949="Yes",20,"")</f>
        <v/>
      </c>
      <c r="U1952" s="1477"/>
      <c r="V1952" s="1477"/>
      <c r="W1952" s="1477"/>
      <c r="X1952" s="1477"/>
      <c r="Y1952" s="1477"/>
      <c r="Z1952" s="1477"/>
    </row>
    <row r="1953" spans="1:26"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80" t="s">
        <v>1528</v>
      </c>
      <c r="G1953" s="1480" t="str">
        <f t="shared" si="318"/>
        <v/>
      </c>
      <c r="H1953" s="1480" t="s">
        <v>2063</v>
      </c>
      <c r="I1953" s="1427"/>
      <c r="J1953" s="1480"/>
      <c r="K1953" s="1480"/>
      <c r="L1953" s="906"/>
      <c r="M1953" s="1480"/>
      <c r="N1953" s="1480"/>
      <c r="O1953" s="1477"/>
      <c r="P1953" s="1477"/>
      <c r="Q1953" s="1477"/>
      <c r="R1953" s="1480" t="s">
        <v>396</v>
      </c>
      <c r="S1953" s="1477"/>
      <c r="T1953" s="1480" t="str">
        <f>IF(Q$968="Yes",21,"")</f>
        <v/>
      </c>
      <c r="U1953" s="1477"/>
      <c r="V1953" s="1477"/>
      <c r="W1953" s="1477"/>
      <c r="X1953" s="1477"/>
      <c r="Y1953" s="1477"/>
      <c r="Z1953" s="1477"/>
    </row>
    <row r="1954" spans="1:26"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80" t="s">
        <v>1515</v>
      </c>
      <c r="G1954" s="1480" t="str">
        <f>IF(T1954&lt;&gt;"","AS","")</f>
        <v/>
      </c>
      <c r="H1954" s="1480" t="s">
        <v>2063</v>
      </c>
      <c r="I1954" s="1427" t="str">
        <f t="shared" ref="I1954:I1987" si="321">IF(J1954&lt;&gt;"",A1954,"")</f>
        <v/>
      </c>
      <c r="J1954" s="1480"/>
      <c r="K1954" s="1480" t="str">
        <f t="shared" ref="K1954:K1988" si="322">IF(J1954&lt;&gt;"",E1954,"")</f>
        <v/>
      </c>
      <c r="L1954" s="906" t="s">
        <v>1510</v>
      </c>
      <c r="M1954" s="1480">
        <v>522</v>
      </c>
      <c r="N1954" s="1480"/>
      <c r="O1954" s="1477">
        <f>'Configurable Tab'!H1418</f>
        <v>0</v>
      </c>
      <c r="P1954" s="1477"/>
      <c r="Q1954" s="1477"/>
      <c r="R1954" s="1480" t="s">
        <v>857</v>
      </c>
      <c r="S1954" s="1477"/>
      <c r="T1954" s="1480" t="str">
        <f>IF(Q$540="Yes",1,"")</f>
        <v/>
      </c>
      <c r="U1954" s="1477"/>
      <c r="V1954" s="1477"/>
      <c r="W1954" s="1477"/>
      <c r="X1954" s="1477"/>
      <c r="Y1954" s="1477"/>
      <c r="Z1954" s="1477"/>
    </row>
    <row r="1955" spans="1:26"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80" t="s">
        <v>1515</v>
      </c>
      <c r="G1955" s="1480" t="str">
        <f t="shared" ref="G1955:G1987" si="323">IF(T1955&lt;&gt;"","AS","")</f>
        <v/>
      </c>
      <c r="H1955" s="1480" t="s">
        <v>2063</v>
      </c>
      <c r="I1955" s="1427" t="str">
        <f t="shared" si="321"/>
        <v/>
      </c>
      <c r="J1955" s="1480"/>
      <c r="K1955" s="1480" t="str">
        <f t="shared" si="322"/>
        <v/>
      </c>
      <c r="L1955" s="906" t="s">
        <v>1510</v>
      </c>
      <c r="M1955" s="1480">
        <v>537</v>
      </c>
      <c r="N1955" s="1480"/>
      <c r="O1955" s="1477" t="s">
        <v>728</v>
      </c>
      <c r="P1955" s="1477"/>
      <c r="Q1955" s="1477"/>
      <c r="R1955" s="1480" t="s">
        <v>857</v>
      </c>
      <c r="S1955" s="1477"/>
      <c r="T1955" s="1480" t="str">
        <f>IF(Q$555="Yes",2,"")</f>
        <v/>
      </c>
      <c r="U1955" s="1477"/>
      <c r="V1955" s="1477"/>
      <c r="W1955" s="1477"/>
      <c r="X1955" s="1477"/>
      <c r="Y1955" s="1477"/>
      <c r="Z1955" s="1477"/>
    </row>
    <row r="1956" spans="1:26"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80" t="s">
        <v>1515</v>
      </c>
      <c r="G1956" s="1480" t="str">
        <f t="shared" si="323"/>
        <v>AS</v>
      </c>
      <c r="H1956" s="1480" t="s">
        <v>2063</v>
      </c>
      <c r="I1956" s="1427" t="str">
        <f t="shared" si="321"/>
        <v/>
      </c>
      <c r="J1956" s="1480"/>
      <c r="K1956" s="1480" t="str">
        <f t="shared" si="322"/>
        <v/>
      </c>
      <c r="L1956" s="906" t="s">
        <v>1510</v>
      </c>
      <c r="M1956" s="1480">
        <v>552</v>
      </c>
      <c r="N1956" s="1480"/>
      <c r="O1956" s="1477" t="s">
        <v>728</v>
      </c>
      <c r="P1956" s="1477"/>
      <c r="Q1956" s="1477"/>
      <c r="R1956" s="1480" t="s">
        <v>857</v>
      </c>
      <c r="S1956" s="1477"/>
      <c r="T1956" s="1480">
        <f>IF(Q$570="Yes",3,"")</f>
        <v>3</v>
      </c>
      <c r="U1956" s="1477"/>
      <c r="V1956" s="1477"/>
      <c r="W1956" s="1477"/>
      <c r="X1956" s="1477"/>
      <c r="Y1956" s="1477"/>
      <c r="Z1956" s="1477"/>
    </row>
    <row r="1957" spans="1:26"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80" t="s">
        <v>1515</v>
      </c>
      <c r="G1957" s="1480" t="str">
        <f t="shared" si="323"/>
        <v/>
      </c>
      <c r="H1957" s="1480" t="s">
        <v>2063</v>
      </c>
      <c r="I1957" s="1427" t="str">
        <f t="shared" si="321"/>
        <v/>
      </c>
      <c r="J1957" s="1480"/>
      <c r="K1957" s="1480" t="str">
        <f t="shared" si="322"/>
        <v/>
      </c>
      <c r="L1957" s="906" t="s">
        <v>1510</v>
      </c>
      <c r="M1957" s="1480">
        <v>571</v>
      </c>
      <c r="N1957" s="1480"/>
      <c r="O1957" s="1477" t="s">
        <v>728</v>
      </c>
      <c r="P1957" s="1477"/>
      <c r="Q1957" s="1477"/>
      <c r="R1957" s="1480" t="s">
        <v>857</v>
      </c>
      <c r="S1957" s="1477"/>
      <c r="T1957" s="1480" t="str">
        <f>IF(Q$589="Yes",4,"")</f>
        <v/>
      </c>
      <c r="U1957" s="1477"/>
      <c r="V1957" s="1477"/>
      <c r="W1957" s="1477"/>
      <c r="X1957" s="1477"/>
      <c r="Y1957" s="1477"/>
      <c r="Z1957" s="1477"/>
    </row>
    <row r="1958" spans="1:26"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80" t="s">
        <v>1515</v>
      </c>
      <c r="G1958" s="1480" t="str">
        <f t="shared" si="323"/>
        <v/>
      </c>
      <c r="H1958" s="1480" t="s">
        <v>2063</v>
      </c>
      <c r="I1958" s="1427" t="str">
        <f t="shared" si="321"/>
        <v/>
      </c>
      <c r="J1958" s="1480"/>
      <c r="K1958" s="1480" t="str">
        <f t="shared" si="322"/>
        <v/>
      </c>
      <c r="L1958" s="906" t="s">
        <v>1510</v>
      </c>
      <c r="M1958" s="1480">
        <v>590</v>
      </c>
      <c r="N1958" s="1480"/>
      <c r="O1958" s="1477" t="s">
        <v>728</v>
      </c>
      <c r="P1958" s="1477"/>
      <c r="Q1958" s="1477"/>
      <c r="R1958" s="1480" t="s">
        <v>857</v>
      </c>
      <c r="S1958" s="1477"/>
      <c r="T1958" s="1480" t="str">
        <f>IF(Q$608="Yes",5,"")</f>
        <v/>
      </c>
      <c r="U1958" s="1477"/>
      <c r="V1958" s="1477"/>
      <c r="W1958" s="1477"/>
      <c r="X1958" s="1477"/>
      <c r="Y1958" s="1477"/>
      <c r="Z1958" s="1477"/>
    </row>
    <row r="1959" spans="1:26"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80" t="s">
        <v>1515</v>
      </c>
      <c r="G1959" s="1480" t="str">
        <f t="shared" si="323"/>
        <v/>
      </c>
      <c r="H1959" s="1480" t="s">
        <v>2063</v>
      </c>
      <c r="I1959" s="1427" t="str">
        <f t="shared" si="321"/>
        <v/>
      </c>
      <c r="J1959" s="1480"/>
      <c r="K1959" s="1480" t="str">
        <f t="shared" si="322"/>
        <v/>
      </c>
      <c r="L1959" s="906" t="s">
        <v>1510</v>
      </c>
      <c r="M1959" s="1480">
        <v>621</v>
      </c>
      <c r="N1959" s="1480"/>
      <c r="O1959" s="1477" t="s">
        <v>728</v>
      </c>
      <c r="P1959" s="1477"/>
      <c r="Q1959" s="1477"/>
      <c r="R1959" s="1480" t="s">
        <v>857</v>
      </c>
      <c r="S1959" s="1477"/>
      <c r="T1959" s="1480" t="str">
        <f>IF(Q$639="Yes",6,"")</f>
        <v/>
      </c>
      <c r="U1959" s="1477"/>
      <c r="V1959" s="1477"/>
      <c r="W1959" s="1477"/>
      <c r="X1959" s="1477"/>
      <c r="Y1959" s="1477"/>
      <c r="Z1959" s="1477"/>
    </row>
    <row r="1960" spans="1:26"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80" t="s">
        <v>1515</v>
      </c>
      <c r="G1960" s="1480" t="str">
        <f t="shared" si="323"/>
        <v>AS</v>
      </c>
      <c r="H1960" s="1480" t="s">
        <v>2063</v>
      </c>
      <c r="I1960" s="1427" t="str">
        <f t="shared" si="321"/>
        <v/>
      </c>
      <c r="J1960" s="1480"/>
      <c r="K1960" s="1480" t="str">
        <f t="shared" si="322"/>
        <v/>
      </c>
      <c r="L1960" s="906" t="s">
        <v>1510</v>
      </c>
      <c r="M1960" s="1480">
        <v>652</v>
      </c>
      <c r="N1960" s="1480"/>
      <c r="O1960" s="1477" t="s">
        <v>728</v>
      </c>
      <c r="P1960" s="1477"/>
      <c r="Q1960" s="1477"/>
      <c r="R1960" s="1480" t="s">
        <v>1544</v>
      </c>
      <c r="S1960" s="1477"/>
      <c r="T1960" s="1480">
        <f>IF(Q$670="Yes",7,"")</f>
        <v>7</v>
      </c>
      <c r="U1960" s="1477"/>
      <c r="V1960" s="1477"/>
      <c r="W1960" s="1477"/>
      <c r="X1960" s="1477"/>
      <c r="Y1960" s="1477"/>
      <c r="Z1960" s="1477"/>
    </row>
    <row r="1961" spans="1:26"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80" t="s">
        <v>1515</v>
      </c>
      <c r="G1961" s="1480" t="str">
        <f t="shared" si="323"/>
        <v/>
      </c>
      <c r="H1961" s="1480" t="s">
        <v>2063</v>
      </c>
      <c r="I1961" s="1427" t="str">
        <f t="shared" si="321"/>
        <v/>
      </c>
      <c r="J1961" s="1480"/>
      <c r="K1961" s="1480" t="str">
        <f t="shared" si="322"/>
        <v/>
      </c>
      <c r="L1961" s="906" t="s">
        <v>1510</v>
      </c>
      <c r="M1961" s="1480">
        <v>670</v>
      </c>
      <c r="N1961" s="1480"/>
      <c r="O1961" s="1477" t="s">
        <v>728</v>
      </c>
      <c r="P1961" s="1477"/>
      <c r="Q1961" s="1477"/>
      <c r="R1961" s="1480" t="s">
        <v>1544</v>
      </c>
      <c r="S1961" s="1477"/>
      <c r="T1961" s="1480" t="str">
        <f>IF(Q$688="Yes",8,"")</f>
        <v/>
      </c>
      <c r="U1961" s="1477"/>
      <c r="V1961" s="1477"/>
      <c r="W1961" s="1477"/>
      <c r="X1961" s="1477"/>
      <c r="Y1961" s="1477"/>
      <c r="Z1961" s="1477"/>
    </row>
    <row r="1962" spans="1:26"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80" t="s">
        <v>1515</v>
      </c>
      <c r="G1962" s="1480" t="str">
        <f t="shared" si="323"/>
        <v/>
      </c>
      <c r="H1962" s="1480" t="s">
        <v>2063</v>
      </c>
      <c r="I1962" s="1427" t="str">
        <f t="shared" si="321"/>
        <v/>
      </c>
      <c r="J1962" s="1480"/>
      <c r="K1962" s="1480" t="str">
        <f t="shared" si="322"/>
        <v/>
      </c>
      <c r="L1962" s="906" t="s">
        <v>1510</v>
      </c>
      <c r="M1962" s="1480">
        <v>688</v>
      </c>
      <c r="N1962" s="1480"/>
      <c r="O1962" s="1477" t="s">
        <v>728</v>
      </c>
      <c r="P1962" s="1477"/>
      <c r="Q1962" s="1477"/>
      <c r="R1962" s="1480" t="s">
        <v>1544</v>
      </c>
      <c r="S1962" s="1477"/>
      <c r="T1962" s="1480" t="str">
        <f>IF(Q$706="Yes",9,"")</f>
        <v/>
      </c>
      <c r="U1962" s="1477"/>
      <c r="V1962" s="1477"/>
      <c r="W1962" s="1477"/>
      <c r="X1962" s="1477"/>
      <c r="Y1962" s="1477"/>
      <c r="Z1962" s="1477"/>
    </row>
    <row r="1963" spans="1:26"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80" t="s">
        <v>1515</v>
      </c>
      <c r="G1963" s="1480" t="str">
        <f t="shared" si="323"/>
        <v/>
      </c>
      <c r="H1963" s="1480" t="s">
        <v>2063</v>
      </c>
      <c r="I1963" s="1427" t="str">
        <f t="shared" si="321"/>
        <v/>
      </c>
      <c r="J1963" s="1480"/>
      <c r="K1963" s="1480" t="str">
        <f t="shared" si="322"/>
        <v/>
      </c>
      <c r="L1963" s="906" t="s">
        <v>1510</v>
      </c>
      <c r="M1963" s="1480">
        <v>718</v>
      </c>
      <c r="N1963" s="1480"/>
      <c r="O1963" s="1477" t="s">
        <v>728</v>
      </c>
      <c r="P1963" s="1477"/>
      <c r="Q1963" s="1477"/>
      <c r="R1963" s="1480" t="s">
        <v>1544</v>
      </c>
      <c r="S1963" s="1477"/>
      <c r="T1963" s="1480" t="str">
        <f>IF(Q$736="Yes",10,"")</f>
        <v/>
      </c>
      <c r="U1963" s="1477"/>
      <c r="V1963" s="1477"/>
      <c r="W1963" s="1477"/>
      <c r="X1963" s="1477"/>
      <c r="Y1963" s="1477"/>
      <c r="Z1963" s="1477"/>
    </row>
    <row r="1964" spans="1:26"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80" t="s">
        <v>1515</v>
      </c>
      <c r="G1964" s="1480" t="str">
        <f t="shared" si="323"/>
        <v/>
      </c>
      <c r="H1964" s="1480" t="s">
        <v>2063</v>
      </c>
      <c r="I1964" s="1427" t="str">
        <f t="shared" si="321"/>
        <v/>
      </c>
      <c r="J1964" s="1480"/>
      <c r="K1964" s="1480" t="str">
        <f t="shared" si="322"/>
        <v/>
      </c>
      <c r="L1964" s="906" t="s">
        <v>1510</v>
      </c>
      <c r="M1964" s="1480">
        <v>748</v>
      </c>
      <c r="N1964" s="1480"/>
      <c r="O1964" s="1477" t="s">
        <v>728</v>
      </c>
      <c r="P1964" s="1477"/>
      <c r="Q1964" s="1477"/>
      <c r="R1964" s="1480" t="s">
        <v>1550</v>
      </c>
      <c r="S1964" s="1477"/>
      <c r="T1964" s="1480" t="str">
        <f>IF(Q$766="Yes",11,"")</f>
        <v/>
      </c>
      <c r="U1964" s="1477"/>
      <c r="V1964" s="1477"/>
      <c r="W1964" s="1477"/>
      <c r="X1964" s="1477"/>
      <c r="Y1964" s="1477"/>
      <c r="Z1964" s="1477"/>
    </row>
    <row r="1965" spans="1:26"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80" t="s">
        <v>1515</v>
      </c>
      <c r="G1965" s="1480" t="str">
        <f t="shared" si="323"/>
        <v/>
      </c>
      <c r="H1965" s="1480" t="s">
        <v>2063</v>
      </c>
      <c r="I1965" s="1427" t="str">
        <f t="shared" si="321"/>
        <v/>
      </c>
      <c r="J1965" s="1480"/>
      <c r="K1965" s="1480" t="str">
        <f t="shared" si="322"/>
        <v/>
      </c>
      <c r="L1965" s="906" t="s">
        <v>1510</v>
      </c>
      <c r="M1965" s="1480">
        <v>763</v>
      </c>
      <c r="N1965" s="1480"/>
      <c r="O1965" s="1477" t="s">
        <v>728</v>
      </c>
      <c r="P1965" s="1477"/>
      <c r="Q1965" s="1477"/>
      <c r="R1965" s="1480" t="s">
        <v>1550</v>
      </c>
      <c r="S1965" s="1477"/>
      <c r="T1965" s="1480" t="str">
        <f>IF(Q$781="Yes",12,"")</f>
        <v/>
      </c>
      <c r="U1965" s="1477"/>
      <c r="V1965" s="1477"/>
      <c r="W1965" s="1477"/>
      <c r="X1965" s="1477"/>
      <c r="Y1965" s="1477"/>
      <c r="Z1965" s="1477"/>
    </row>
    <row r="1966" spans="1:26"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80" t="s">
        <v>1515</v>
      </c>
      <c r="G1966" s="1480" t="str">
        <f t="shared" si="323"/>
        <v>AS</v>
      </c>
      <c r="H1966" s="1480" t="s">
        <v>2063</v>
      </c>
      <c r="I1966" s="1427" t="str">
        <f t="shared" si="321"/>
        <v/>
      </c>
      <c r="J1966" s="1480"/>
      <c r="K1966" s="1480" t="str">
        <f t="shared" si="322"/>
        <v/>
      </c>
      <c r="L1966" s="906" t="s">
        <v>1510</v>
      </c>
      <c r="M1966" s="1480">
        <v>778</v>
      </c>
      <c r="N1966" s="1480"/>
      <c r="O1966" s="1477" t="s">
        <v>728</v>
      </c>
      <c r="P1966" s="1477"/>
      <c r="Q1966" s="1477"/>
      <c r="R1966" s="1480" t="s">
        <v>1550</v>
      </c>
      <c r="S1966" s="1477"/>
      <c r="T1966" s="1480">
        <f>IF(Q$796="Yes",13,"")</f>
        <v>13</v>
      </c>
      <c r="U1966" s="1477"/>
      <c r="V1966" s="1477"/>
      <c r="W1966" s="1477"/>
      <c r="X1966" s="1477"/>
      <c r="Y1966" s="1477"/>
      <c r="Z1966" s="1477"/>
    </row>
    <row r="1967" spans="1:26"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80" t="s">
        <v>1515</v>
      </c>
      <c r="G1967" s="1480" t="str">
        <f t="shared" si="323"/>
        <v/>
      </c>
      <c r="H1967" s="1480" t="s">
        <v>2063</v>
      </c>
      <c r="I1967" s="1427" t="str">
        <f t="shared" si="321"/>
        <v/>
      </c>
      <c r="J1967" s="1480"/>
      <c r="K1967" s="1480" t="str">
        <f t="shared" si="322"/>
        <v/>
      </c>
      <c r="L1967" s="906" t="s">
        <v>1510</v>
      </c>
      <c r="M1967" s="1480">
        <v>796</v>
      </c>
      <c r="N1967" s="1480"/>
      <c r="O1967" s="1477" t="s">
        <v>728</v>
      </c>
      <c r="P1967" s="1477"/>
      <c r="Q1967" s="1477"/>
      <c r="R1967" s="1480" t="s">
        <v>1550</v>
      </c>
      <c r="S1967" s="1477"/>
      <c r="T1967" s="1480" t="str">
        <f>IF(Q$814="Yes",14,"")</f>
        <v/>
      </c>
      <c r="U1967" s="1477"/>
      <c r="V1967" s="1477"/>
      <c r="W1967" s="1477"/>
      <c r="X1967" s="1477"/>
      <c r="Y1967" s="1477"/>
      <c r="Z1967" s="1477"/>
    </row>
    <row r="1968" spans="1:26"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80" t="s">
        <v>1515</v>
      </c>
      <c r="G1968" s="1480" t="str">
        <f t="shared" si="323"/>
        <v/>
      </c>
      <c r="H1968" s="1480" t="s">
        <v>2063</v>
      </c>
      <c r="I1968" s="1427" t="str">
        <f t="shared" si="321"/>
        <v/>
      </c>
      <c r="J1968" s="1480"/>
      <c r="K1968" s="1480" t="str">
        <f t="shared" si="322"/>
        <v/>
      </c>
      <c r="L1968" s="906" t="s">
        <v>1510</v>
      </c>
      <c r="M1968" s="1480">
        <v>814</v>
      </c>
      <c r="N1968" s="1480"/>
      <c r="O1968" s="1477" t="s">
        <v>728</v>
      </c>
      <c r="P1968" s="1477"/>
      <c r="Q1968" s="1477"/>
      <c r="R1968" s="1480" t="s">
        <v>1550</v>
      </c>
      <c r="S1968" s="1477"/>
      <c r="T1968" s="1480" t="str">
        <f>IF(Q$832="Yes",15,"")</f>
        <v/>
      </c>
      <c r="U1968" s="1477"/>
      <c r="V1968" s="1477"/>
      <c r="W1968" s="1477"/>
      <c r="X1968" s="1477"/>
      <c r="Y1968" s="1477"/>
      <c r="Z1968" s="1477"/>
    </row>
    <row r="1969" spans="1:26"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80" t="s">
        <v>1515</v>
      </c>
      <c r="G1969" s="1480" t="str">
        <f t="shared" si="323"/>
        <v/>
      </c>
      <c r="H1969" s="1480" t="s">
        <v>2063</v>
      </c>
      <c r="I1969" s="1427" t="str">
        <f t="shared" si="321"/>
        <v/>
      </c>
      <c r="J1969" s="1480"/>
      <c r="K1969" s="1480" t="str">
        <f t="shared" si="322"/>
        <v/>
      </c>
      <c r="L1969" s="906" t="s">
        <v>1510</v>
      </c>
      <c r="M1969" s="1480">
        <v>844</v>
      </c>
      <c r="N1969" s="1480"/>
      <c r="O1969" s="1477" t="s">
        <v>728</v>
      </c>
      <c r="P1969" s="1477"/>
      <c r="Q1969" s="1477"/>
      <c r="R1969" s="1480" t="s">
        <v>1550</v>
      </c>
      <c r="S1969" s="1477"/>
      <c r="T1969" s="1480" t="str">
        <f>IF(Q$862="Yes",16,"")</f>
        <v/>
      </c>
      <c r="U1969" s="1477"/>
      <c r="V1969" s="1477"/>
      <c r="W1969" s="1477"/>
      <c r="X1969" s="1477"/>
      <c r="Y1969" s="1477"/>
      <c r="Z1969" s="1477"/>
    </row>
    <row r="1970" spans="1:26"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80" t="s">
        <v>1515</v>
      </c>
      <c r="G1970" s="1480" t="str">
        <f t="shared" si="323"/>
        <v>AS</v>
      </c>
      <c r="H1970" s="1480" t="s">
        <v>2063</v>
      </c>
      <c r="I1970" s="1427" t="str">
        <f t="shared" si="321"/>
        <v/>
      </c>
      <c r="J1970" s="1480"/>
      <c r="K1970" s="1480" t="str">
        <f t="shared" si="322"/>
        <v/>
      </c>
      <c r="L1970" s="906" t="s">
        <v>1510</v>
      </c>
      <c r="M1970" s="1480">
        <v>874</v>
      </c>
      <c r="N1970" s="1480"/>
      <c r="O1970" s="1477" t="s">
        <v>728</v>
      </c>
      <c r="P1970" s="1477"/>
      <c r="Q1970" s="1477"/>
      <c r="R1970" s="1480" t="s">
        <v>396</v>
      </c>
      <c r="S1970" s="1477"/>
      <c r="T1970" s="1480">
        <f>IF(Q$892="Yes",17,"")</f>
        <v>17</v>
      </c>
      <c r="U1970" s="1477"/>
      <c r="V1970" s="1477"/>
      <c r="W1970" s="1477"/>
      <c r="X1970" s="1477"/>
      <c r="Y1970" s="1477"/>
      <c r="Z1970" s="1477"/>
    </row>
    <row r="1971" spans="1:26"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80" t="s">
        <v>1515</v>
      </c>
      <c r="G1971" s="1480" t="str">
        <f t="shared" si="323"/>
        <v/>
      </c>
      <c r="H1971" s="1480" t="s">
        <v>2063</v>
      </c>
      <c r="I1971" s="1427" t="str">
        <f t="shared" si="321"/>
        <v/>
      </c>
      <c r="J1971" s="1480"/>
      <c r="K1971" s="1480" t="str">
        <f t="shared" si="322"/>
        <v/>
      </c>
      <c r="L1971" s="906" t="s">
        <v>1510</v>
      </c>
      <c r="M1971" s="1480">
        <v>893</v>
      </c>
      <c r="N1971" s="1480"/>
      <c r="O1971" s="1477" t="s">
        <v>728</v>
      </c>
      <c r="P1971" s="1477"/>
      <c r="Q1971" s="1477"/>
      <c r="R1971" s="1480" t="s">
        <v>396</v>
      </c>
      <c r="S1971" s="1477"/>
      <c r="T1971" s="1480" t="str">
        <f>IF(Q$911="Yes",18,"")</f>
        <v/>
      </c>
      <c r="U1971" s="1477"/>
      <c r="V1971" s="1477"/>
      <c r="W1971" s="1477"/>
      <c r="X1971" s="1477"/>
      <c r="Y1971" s="1477"/>
      <c r="Z1971" s="1477"/>
    </row>
    <row r="1972" spans="1:26"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80" t="s">
        <v>1515</v>
      </c>
      <c r="G1972" s="1480" t="str">
        <f t="shared" si="323"/>
        <v/>
      </c>
      <c r="H1972" s="1480" t="s">
        <v>2063</v>
      </c>
      <c r="I1972" s="1427" t="str">
        <f t="shared" si="321"/>
        <v/>
      </c>
      <c r="J1972" s="1480"/>
      <c r="K1972" s="1480" t="str">
        <f t="shared" si="322"/>
        <v/>
      </c>
      <c r="L1972" s="906" t="s">
        <v>1510</v>
      </c>
      <c r="M1972" s="1480">
        <v>912</v>
      </c>
      <c r="N1972" s="1480"/>
      <c r="O1972" s="1477" t="s">
        <v>728</v>
      </c>
      <c r="P1972" s="1477"/>
      <c r="Q1972" s="1477"/>
      <c r="R1972" s="1480" t="s">
        <v>396</v>
      </c>
      <c r="S1972" s="1477"/>
      <c r="T1972" s="1480" t="str">
        <f>IF(Q$930="Yes",19,"")</f>
        <v/>
      </c>
      <c r="U1972" s="1477"/>
      <c r="V1972" s="1477"/>
      <c r="W1972" s="1477"/>
      <c r="X1972" s="1477"/>
      <c r="Y1972" s="1477"/>
      <c r="Z1972" s="1477"/>
    </row>
    <row r="1973" spans="1:26"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80" t="s">
        <v>1515</v>
      </c>
      <c r="G1973" s="1480" t="str">
        <f t="shared" si="323"/>
        <v/>
      </c>
      <c r="H1973" s="1480" t="s">
        <v>2063</v>
      </c>
      <c r="I1973" s="1427" t="str">
        <f t="shared" si="321"/>
        <v/>
      </c>
      <c r="J1973" s="1480"/>
      <c r="K1973" s="1480" t="str">
        <f t="shared" si="322"/>
        <v/>
      </c>
      <c r="L1973" s="906" t="s">
        <v>1510</v>
      </c>
      <c r="M1973" s="1480">
        <v>931</v>
      </c>
      <c r="N1973" s="1480"/>
      <c r="O1973" s="1477" t="s">
        <v>728</v>
      </c>
      <c r="P1973" s="1477"/>
      <c r="Q1973" s="1477"/>
      <c r="R1973" s="1480" t="s">
        <v>396</v>
      </c>
      <c r="S1973" s="1477"/>
      <c r="T1973" s="1480" t="str">
        <f>IF(Q$949="Yes",20,"")</f>
        <v/>
      </c>
      <c r="U1973" s="1477"/>
      <c r="V1973" s="1477"/>
      <c r="W1973" s="1477"/>
      <c r="X1973" s="1477"/>
      <c r="Y1973" s="1477"/>
      <c r="Z1973" s="1477"/>
    </row>
    <row r="1974" spans="1:26"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80" t="s">
        <v>1515</v>
      </c>
      <c r="G1974" s="1480" t="str">
        <f t="shared" si="323"/>
        <v/>
      </c>
      <c r="H1974" s="1480" t="s">
        <v>2063</v>
      </c>
      <c r="I1974" s="1427" t="str">
        <f t="shared" si="321"/>
        <v/>
      </c>
      <c r="J1974" s="1480"/>
      <c r="K1974" s="1480" t="str">
        <f t="shared" si="322"/>
        <v/>
      </c>
      <c r="L1974" s="906" t="s">
        <v>1510</v>
      </c>
      <c r="M1974" s="1480">
        <v>950</v>
      </c>
      <c r="N1974" s="1480"/>
      <c r="O1974" s="1477" t="s">
        <v>728</v>
      </c>
      <c r="P1974" s="1477"/>
      <c r="Q1974" s="1477"/>
      <c r="R1974" s="1480" t="s">
        <v>396</v>
      </c>
      <c r="S1974" s="1477"/>
      <c r="T1974" s="1480" t="str">
        <f>IF(Q$968="Yes",21,"")</f>
        <v/>
      </c>
      <c r="U1974" s="1477"/>
      <c r="V1974" s="1477"/>
      <c r="W1974" s="1477"/>
      <c r="X1974" s="1477"/>
      <c r="Y1974" s="1477"/>
      <c r="Z1974" s="1477"/>
    </row>
    <row r="1975" spans="1:26"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80" t="s">
        <v>1515</v>
      </c>
      <c r="G1975" s="1480" t="str">
        <f t="shared" si="323"/>
        <v>AS</v>
      </c>
      <c r="H1975" s="1480" t="s">
        <v>2063</v>
      </c>
      <c r="I1975" s="1427" t="str">
        <f t="shared" si="321"/>
        <v/>
      </c>
      <c r="J1975" s="1480"/>
      <c r="K1975" s="1480" t="str">
        <f t="shared" si="322"/>
        <v/>
      </c>
      <c r="L1975" s="906" t="s">
        <v>1510</v>
      </c>
      <c r="M1975" s="1480">
        <v>969</v>
      </c>
      <c r="N1975" s="1480"/>
      <c r="O1975" s="1477" t="s">
        <v>728</v>
      </c>
      <c r="P1975" s="1477"/>
      <c r="Q1975" s="1477"/>
      <c r="R1975" s="1480" t="s">
        <v>1715</v>
      </c>
      <c r="S1975" s="1477"/>
      <c r="T1975" s="1480">
        <f>IF(Q$987="Yes",22,"")</f>
        <v>22</v>
      </c>
      <c r="U1975" s="1477"/>
      <c r="V1975" s="1477"/>
      <c r="W1975" s="1477"/>
      <c r="X1975" s="1477"/>
      <c r="Y1975" s="1477"/>
      <c r="Z1975" s="1477"/>
    </row>
    <row r="1976" spans="1:26"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80" t="s">
        <v>1515</v>
      </c>
      <c r="G1976" s="1480" t="str">
        <f t="shared" si="323"/>
        <v/>
      </c>
      <c r="H1976" s="1480" t="s">
        <v>2063</v>
      </c>
      <c r="I1976" s="1427" t="str">
        <f t="shared" si="321"/>
        <v/>
      </c>
      <c r="J1976" s="1480"/>
      <c r="K1976" s="1480" t="str">
        <f t="shared" si="322"/>
        <v/>
      </c>
      <c r="L1976" s="906" t="s">
        <v>1510</v>
      </c>
      <c r="M1976" s="1480">
        <v>987</v>
      </c>
      <c r="N1976" s="1480"/>
      <c r="O1976" s="1477" t="s">
        <v>728</v>
      </c>
      <c r="P1976" s="1477"/>
      <c r="Q1976" s="1477"/>
      <c r="R1976" s="1480" t="s">
        <v>483</v>
      </c>
      <c r="S1976" s="1477"/>
      <c r="T1976" s="1480" t="str">
        <f>IF(Q$1005="Yes",23,"")</f>
        <v/>
      </c>
      <c r="U1976" s="1477"/>
      <c r="V1976" s="1477"/>
      <c r="W1976" s="1477"/>
      <c r="X1976" s="1477"/>
      <c r="Y1976" s="1477"/>
      <c r="Z1976" s="1477"/>
    </row>
    <row r="1977" spans="1:26"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80" t="s">
        <v>1515</v>
      </c>
      <c r="G1977" s="1480" t="str">
        <f t="shared" si="323"/>
        <v/>
      </c>
      <c r="H1977" s="1480" t="s">
        <v>2063</v>
      </c>
      <c r="I1977" s="1427" t="str">
        <f t="shared" si="321"/>
        <v/>
      </c>
      <c r="J1977" s="1480"/>
      <c r="K1977" s="1480" t="str">
        <f t="shared" si="322"/>
        <v/>
      </c>
      <c r="L1977" s="906" t="s">
        <v>1510</v>
      </c>
      <c r="M1977" s="1480">
        <v>998</v>
      </c>
      <c r="N1977" s="1480"/>
      <c r="O1977" s="1477" t="s">
        <v>728</v>
      </c>
      <c r="P1977" s="1477"/>
      <c r="Q1977" s="1477"/>
      <c r="R1977" s="1480" t="s">
        <v>483</v>
      </c>
      <c r="S1977" s="1477"/>
      <c r="T1977" s="1480" t="str">
        <f>IF(Q$1016="Yes",24,"")</f>
        <v/>
      </c>
      <c r="U1977" s="1477"/>
      <c r="V1977" s="1477"/>
      <c r="W1977" s="1477"/>
      <c r="X1977" s="1477"/>
      <c r="Y1977" s="1477"/>
      <c r="Z1977" s="1477"/>
    </row>
    <row r="1978" spans="1:26"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80" t="s">
        <v>1515</v>
      </c>
      <c r="G1978" s="1480" t="str">
        <f t="shared" si="323"/>
        <v>AS</v>
      </c>
      <c r="H1978" s="1480" t="s">
        <v>2063</v>
      </c>
      <c r="I1978" s="1427" t="str">
        <f t="shared" si="321"/>
        <v/>
      </c>
      <c r="J1978" s="1480"/>
      <c r="K1978" s="1480" t="str">
        <f t="shared" si="322"/>
        <v/>
      </c>
      <c r="L1978" s="906" t="s">
        <v>1510</v>
      </c>
      <c r="M1978" s="1480">
        <v>1009</v>
      </c>
      <c r="N1978" s="1480"/>
      <c r="O1978" s="1477" t="s">
        <v>728</v>
      </c>
      <c r="P1978" s="1477"/>
      <c r="Q1978" s="1477"/>
      <c r="R1978" s="1480" t="s">
        <v>483</v>
      </c>
      <c r="S1978" s="1477"/>
      <c r="T1978" s="1480">
        <f>IF(Q$1027="Yes",25,"")</f>
        <v>25</v>
      </c>
      <c r="U1978" s="1477"/>
      <c r="V1978" s="1477"/>
      <c r="W1978" s="1477"/>
      <c r="X1978" s="1477"/>
      <c r="Y1978" s="1477"/>
      <c r="Z1978" s="1477"/>
    </row>
    <row r="1979" spans="1:26"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80" t="s">
        <v>1515</v>
      </c>
      <c r="G1979" s="1480" t="str">
        <f t="shared" si="323"/>
        <v>AS</v>
      </c>
      <c r="H1979" s="1480" t="s">
        <v>2063</v>
      </c>
      <c r="I1979" s="1427" t="str">
        <f t="shared" si="321"/>
        <v/>
      </c>
      <c r="J1979" s="1480"/>
      <c r="K1979" s="1480" t="str">
        <f t="shared" si="322"/>
        <v/>
      </c>
      <c r="L1979" s="906" t="s">
        <v>1510</v>
      </c>
      <c r="M1979" s="1480">
        <v>1020</v>
      </c>
      <c r="N1979" s="1480"/>
      <c r="O1979" s="1477" t="s">
        <v>728</v>
      </c>
      <c r="P1979" s="1477"/>
      <c r="Q1979" s="1477"/>
      <c r="R1979" s="1480" t="s">
        <v>1144</v>
      </c>
      <c r="S1979" s="1477"/>
      <c r="T1979" s="1480">
        <f>IF(Q$1038="Yes",26,"")</f>
        <v>26</v>
      </c>
      <c r="U1979" s="1477"/>
      <c r="V1979" s="1477"/>
      <c r="W1979" s="1477"/>
      <c r="X1979" s="1477"/>
      <c r="Y1979" s="1477"/>
      <c r="Z1979" s="1477"/>
    </row>
    <row r="1980" spans="1:26"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80" t="s">
        <v>1515</v>
      </c>
      <c r="G1980" s="1480" t="str">
        <f t="shared" si="323"/>
        <v>AS</v>
      </c>
      <c r="H1980" s="1480" t="s">
        <v>2063</v>
      </c>
      <c r="I1980" s="1427" t="str">
        <f t="shared" si="321"/>
        <v/>
      </c>
      <c r="J1980" s="1480"/>
      <c r="K1980" s="1480" t="str">
        <f t="shared" si="322"/>
        <v/>
      </c>
      <c r="L1980" s="906" t="s">
        <v>1510</v>
      </c>
      <c r="M1980" s="1480">
        <v>1034</v>
      </c>
      <c r="N1980" s="1480"/>
      <c r="O1980" s="1477" t="s">
        <v>728</v>
      </c>
      <c r="P1980" s="1477"/>
      <c r="Q1980" s="1477"/>
      <c r="R1980" s="1480" t="s">
        <v>1719</v>
      </c>
      <c r="S1980" s="1477"/>
      <c r="T1980" s="1480">
        <f>IF(Q$1052="Yes",27,"")</f>
        <v>27</v>
      </c>
      <c r="U1980" s="1477"/>
      <c r="V1980" s="1477"/>
      <c r="W1980" s="1477"/>
      <c r="X1980" s="1477"/>
      <c r="Y1980" s="1477"/>
      <c r="Z1980" s="1477"/>
    </row>
    <row r="1981" spans="1:26"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80" t="s">
        <v>1515</v>
      </c>
      <c r="G1981" s="1480" t="str">
        <f t="shared" si="323"/>
        <v/>
      </c>
      <c r="H1981" s="1480" t="s">
        <v>2063</v>
      </c>
      <c r="I1981" s="1427" t="str">
        <f t="shared" si="321"/>
        <v/>
      </c>
      <c r="J1981" s="1480"/>
      <c r="K1981" s="1480" t="str">
        <f t="shared" si="322"/>
        <v/>
      </c>
      <c r="L1981" s="906" t="s">
        <v>1510</v>
      </c>
      <c r="M1981" s="1480">
        <v>1051</v>
      </c>
      <c r="N1981" s="1480"/>
      <c r="O1981" s="1477" t="s">
        <v>728</v>
      </c>
      <c r="P1981" s="1477"/>
      <c r="Q1981" s="1477"/>
      <c r="R1981" s="1480" t="s">
        <v>1719</v>
      </c>
      <c r="S1981" s="1477"/>
      <c r="T1981" s="1480" t="str">
        <f>IF(Q$1069="Yes",28,"")</f>
        <v/>
      </c>
      <c r="U1981" s="1477"/>
      <c r="V1981" s="1477"/>
      <c r="W1981" s="1477"/>
      <c r="X1981" s="1477"/>
      <c r="Y1981" s="1477"/>
      <c r="Z1981" s="1477"/>
    </row>
    <row r="1982" spans="1:26"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80" t="s">
        <v>1515</v>
      </c>
      <c r="G1982" s="1480" t="str">
        <f t="shared" si="323"/>
        <v/>
      </c>
      <c r="H1982" s="1480" t="s">
        <v>2063</v>
      </c>
      <c r="I1982" s="1427" t="str">
        <f t="shared" si="321"/>
        <v/>
      </c>
      <c r="J1982" s="1480"/>
      <c r="K1982" s="1480" t="str">
        <f t="shared" si="322"/>
        <v/>
      </c>
      <c r="L1982" s="906" t="s">
        <v>1510</v>
      </c>
      <c r="M1982" s="1480">
        <v>1067</v>
      </c>
      <c r="N1982" s="1480"/>
      <c r="O1982" s="1477" t="s">
        <v>728</v>
      </c>
      <c r="P1982" s="1477"/>
      <c r="Q1982" s="1477"/>
      <c r="R1982" s="1480" t="s">
        <v>1107</v>
      </c>
      <c r="S1982" s="1477"/>
      <c r="T1982" s="1480" t="str">
        <f>IF(Q$1085="Yes",29,"")</f>
        <v/>
      </c>
      <c r="U1982" s="1477"/>
      <c r="V1982" s="1477"/>
      <c r="W1982" s="1477"/>
      <c r="X1982" s="1477"/>
      <c r="Y1982" s="1477"/>
      <c r="Z1982" s="1477"/>
    </row>
    <row r="1983" spans="1:26"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80" t="s">
        <v>1515</v>
      </c>
      <c r="G1983" s="1480" t="str">
        <f t="shared" si="323"/>
        <v/>
      </c>
      <c r="H1983" s="1480" t="s">
        <v>2063</v>
      </c>
      <c r="I1983" s="1427" t="str">
        <f t="shared" si="321"/>
        <v/>
      </c>
      <c r="J1983" s="1480"/>
      <c r="K1983" s="1480" t="str">
        <f t="shared" si="322"/>
        <v/>
      </c>
      <c r="L1983" s="906" t="s">
        <v>1510</v>
      </c>
      <c r="M1983" s="1480">
        <v>1077</v>
      </c>
      <c r="N1983" s="1480"/>
      <c r="O1983" s="1477" t="s">
        <v>728</v>
      </c>
      <c r="P1983" s="1477"/>
      <c r="Q1983" s="1477"/>
      <c r="R1983" s="1480" t="s">
        <v>1107</v>
      </c>
      <c r="S1983" s="1477"/>
      <c r="T1983" s="1480" t="str">
        <f>IF(Q$1095="Yes",30,"")</f>
        <v/>
      </c>
      <c r="U1983" s="1477"/>
      <c r="V1983" s="1477"/>
      <c r="W1983" s="1477"/>
      <c r="X1983" s="1477"/>
      <c r="Y1983" s="1477"/>
      <c r="Z1983" s="1477"/>
    </row>
    <row r="1984" spans="1:26"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80" t="s">
        <v>1515</v>
      </c>
      <c r="G1984" s="1480" t="str">
        <f t="shared" si="323"/>
        <v>AS</v>
      </c>
      <c r="H1984" s="1480" t="s">
        <v>2063</v>
      </c>
      <c r="I1984" s="1427" t="str">
        <f t="shared" si="321"/>
        <v/>
      </c>
      <c r="J1984" s="1480"/>
      <c r="K1984" s="1480" t="str">
        <f t="shared" si="322"/>
        <v/>
      </c>
      <c r="L1984" s="906" t="s">
        <v>1510</v>
      </c>
      <c r="M1984" s="1480">
        <v>1087</v>
      </c>
      <c r="N1984" s="1480"/>
      <c r="O1984" s="1477" t="s">
        <v>728</v>
      </c>
      <c r="P1984" s="1477"/>
      <c r="Q1984" s="1477"/>
      <c r="R1984" s="1480" t="s">
        <v>1107</v>
      </c>
      <c r="S1984" s="1477"/>
      <c r="T1984" s="1480">
        <f>IF(Q$1105="Yes",31,"")</f>
        <v>31</v>
      </c>
      <c r="U1984" s="1477"/>
      <c r="V1984" s="1477"/>
      <c r="W1984" s="1477"/>
      <c r="X1984" s="1477"/>
      <c r="Y1984" s="1477"/>
      <c r="Z1984" s="1477"/>
    </row>
    <row r="1985" spans="1:26"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80" t="s">
        <v>1515</v>
      </c>
      <c r="G1985" s="1480" t="str">
        <f t="shared" si="323"/>
        <v/>
      </c>
      <c r="H1985" s="1480" t="s">
        <v>2063</v>
      </c>
      <c r="I1985" s="1427" t="str">
        <f t="shared" si="321"/>
        <v/>
      </c>
      <c r="J1985" s="1480"/>
      <c r="K1985" s="1480" t="str">
        <f t="shared" si="322"/>
        <v/>
      </c>
      <c r="L1985" s="906" t="s">
        <v>1510</v>
      </c>
      <c r="M1985" s="1480">
        <v>1116</v>
      </c>
      <c r="N1985" s="1480"/>
      <c r="O1985" s="1477" t="s">
        <v>728</v>
      </c>
      <c r="P1985" s="1477"/>
      <c r="Q1985" s="1477"/>
      <c r="R1985" s="1480" t="s">
        <v>1107</v>
      </c>
      <c r="S1985" s="1477"/>
      <c r="T1985" s="1480" t="str">
        <f>IF(Q$1134="Yes",32,"")</f>
        <v/>
      </c>
      <c r="U1985" s="1477"/>
      <c r="V1985" s="1477"/>
      <c r="W1985" s="1477"/>
      <c r="X1985" s="1477"/>
      <c r="Y1985" s="1477"/>
      <c r="Z1985" s="1477"/>
    </row>
    <row r="1986" spans="1:26"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80" t="s">
        <v>1515</v>
      </c>
      <c r="G1986" s="1480" t="str">
        <f t="shared" si="323"/>
        <v/>
      </c>
      <c r="H1986" s="1480" t="s">
        <v>2063</v>
      </c>
      <c r="I1986" s="1427" t="str">
        <f t="shared" si="321"/>
        <v/>
      </c>
      <c r="J1986" s="1480"/>
      <c r="K1986" s="1480" t="str">
        <f t="shared" si="322"/>
        <v/>
      </c>
      <c r="L1986" s="906" t="s">
        <v>1510</v>
      </c>
      <c r="M1986" s="1480">
        <v>1145</v>
      </c>
      <c r="N1986" s="1480"/>
      <c r="O1986" s="1477" t="s">
        <v>728</v>
      </c>
      <c r="P1986" s="1477"/>
      <c r="Q1986" s="1477"/>
      <c r="R1986" s="1480" t="s">
        <v>1107</v>
      </c>
      <c r="S1986" s="1477"/>
      <c r="T1986" s="1480" t="str">
        <f>IF(Q$1163="Yes",33,"")</f>
        <v/>
      </c>
      <c r="U1986" s="1477"/>
      <c r="V1986" s="1477"/>
      <c r="W1986" s="1477"/>
      <c r="X1986" s="1477"/>
      <c r="Y1986" s="1477"/>
      <c r="Z1986" s="1477"/>
    </row>
    <row r="1987" spans="1:26"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80" t="s">
        <v>1515</v>
      </c>
      <c r="G1987" s="1480" t="str">
        <f t="shared" si="323"/>
        <v/>
      </c>
      <c r="H1987" s="1480" t="s">
        <v>2063</v>
      </c>
      <c r="I1987" s="1427" t="str">
        <f t="shared" si="321"/>
        <v/>
      </c>
      <c r="J1987" s="1480"/>
      <c r="K1987" s="1480" t="str">
        <f t="shared" si="322"/>
        <v/>
      </c>
      <c r="L1987" s="906" t="s">
        <v>1510</v>
      </c>
      <c r="M1987" s="1480">
        <v>1170</v>
      </c>
      <c r="N1987" s="1480"/>
      <c r="O1987" s="1477" t="s">
        <v>728</v>
      </c>
      <c r="P1987" s="1477"/>
      <c r="Q1987" s="1477"/>
      <c r="R1987" s="1480" t="s">
        <v>1107</v>
      </c>
      <c r="S1987" s="1477"/>
      <c r="T1987" s="1480" t="str">
        <f>IF(Q$1188="Yes",34,"")</f>
        <v/>
      </c>
      <c r="U1987" s="1477"/>
      <c r="V1987" s="1477"/>
      <c r="W1987" s="1477"/>
      <c r="X1987" s="1477"/>
      <c r="Y1987" s="1477"/>
      <c r="Z1987" s="1477"/>
    </row>
    <row r="1988" spans="1:26" ht="30" hidden="1" x14ac:dyDescent="0.25">
      <c r="A1988" s="1480" t="s">
        <v>1911</v>
      </c>
      <c r="B1988" s="867" t="str">
        <f ca="1">_xlfn.CONCAT(IFERROR(SUBSTITUTE(ADDRESS(1,MATCH(A1988,INDIRECT("'"&amp;E1988&amp;"'"&amp;"!A5:Z5"),0),4),1,""),""),5)</f>
        <v>D5</v>
      </c>
      <c r="C1988" s="867" t="str">
        <f ca="1">_xlfn.CONCAT(IFERROR(SUBSTITUTE(ADDRESS(1,MATCH(A1988,INDIRECT("'"&amp;E1988&amp;"'"&amp;"!A5:Z5"),0),4),1,""),""),6)</f>
        <v>D6</v>
      </c>
      <c r="D1988" s="867" t="s">
        <v>1365</v>
      </c>
      <c r="E1988" s="867" t="s">
        <v>2074</v>
      </c>
      <c r="F1988" s="1480" t="s">
        <v>2075</v>
      </c>
      <c r="G1988" s="867" t="s">
        <v>1368</v>
      </c>
      <c r="H1988" s="867" t="s">
        <v>1392</v>
      </c>
      <c r="I1988" s="1427"/>
      <c r="J1988" s="1480"/>
      <c r="K1988" s="1480" t="str">
        <f t="shared" si="322"/>
        <v/>
      </c>
      <c r="L1988" s="1480"/>
      <c r="M1988" s="1480"/>
      <c r="N1988" s="1480"/>
      <c r="O1988" s="1477"/>
      <c r="P1988" s="1477"/>
      <c r="Q1988" s="1477"/>
      <c r="R1988" s="1477"/>
      <c r="S1988" s="1477"/>
      <c r="T1988" s="1477"/>
      <c r="U1988" s="1477"/>
      <c r="V1988" s="1477"/>
      <c r="W1988" s="1477"/>
      <c r="X1988" s="1477"/>
      <c r="Y1988" s="1477"/>
      <c r="Z1988" s="1477"/>
    </row>
    <row r="1989" spans="1:26" hidden="1" x14ac:dyDescent="0.25">
      <c r="A1989" s="1224"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c r="I1989" s="242"/>
      <c r="J1989" s="1477"/>
      <c r="K1989" s="1477"/>
      <c r="L1989" s="1477"/>
      <c r="M1989" s="1477"/>
      <c r="N1989" s="1477"/>
      <c r="O1989" s="1477"/>
      <c r="P1989" s="1477"/>
      <c r="Q1989" s="1477"/>
      <c r="R1989" s="1477"/>
      <c r="S1989" s="1477"/>
      <c r="T1989" s="1477"/>
      <c r="U1989" s="1477"/>
      <c r="V1989" s="1477"/>
      <c r="W1989" s="1477"/>
      <c r="X1989" s="1477"/>
      <c r="Y1989" s="1477"/>
      <c r="Z1989" s="1477"/>
    </row>
    <row r="1990" spans="1:26" x14ac:dyDescent="0.25">
      <c r="A1990" s="1477"/>
      <c r="B1990" s="1477"/>
      <c r="C1990" s="1477"/>
      <c r="D1990" s="1477"/>
      <c r="E1990" s="1477"/>
      <c r="F1990" s="1477"/>
      <c r="G1990" s="1477"/>
      <c r="H1990" s="1477"/>
      <c r="I1990" s="242"/>
      <c r="J1990" s="1477"/>
      <c r="K1990" s="1477"/>
      <c r="L1990" s="1477"/>
      <c r="M1990" s="1477"/>
      <c r="N1990" s="1477"/>
      <c r="O1990" s="1477"/>
      <c r="P1990" s="1477"/>
      <c r="Q1990" s="1477"/>
      <c r="R1990" s="1477"/>
      <c r="S1990" s="1477"/>
      <c r="T1990" s="1477"/>
      <c r="U1990" s="1477"/>
      <c r="V1990" s="1477"/>
      <c r="W1990" s="1477"/>
      <c r="X1990" s="1477"/>
      <c r="Y1990" s="1477"/>
      <c r="Z1990" s="1477"/>
    </row>
    <row r="1991" spans="1:26" x14ac:dyDescent="0.25">
      <c r="A1991" s="1477"/>
      <c r="B1991" s="1477"/>
      <c r="C1991" s="1477"/>
      <c r="D1991" s="1477"/>
      <c r="E1991" s="1477"/>
      <c r="F1991" s="1477"/>
      <c r="G1991" s="1477"/>
      <c r="H1991" s="1477"/>
      <c r="I1991" s="242"/>
      <c r="J1991" s="1477"/>
      <c r="K1991" s="1477"/>
      <c r="L1991" s="1477"/>
      <c r="M1991" s="1477"/>
      <c r="N1991" s="1477"/>
      <c r="O1991" s="1477"/>
      <c r="P1991" s="1477"/>
      <c r="Q1991" s="1477"/>
      <c r="R1991" s="1477"/>
      <c r="S1991" s="1477"/>
      <c r="T1991" s="1477"/>
      <c r="U1991" s="1477"/>
      <c r="V1991" s="1477"/>
      <c r="W1991" s="1477"/>
      <c r="X1991" s="1477"/>
      <c r="Y1991" s="1477"/>
      <c r="Z1991" s="1477"/>
    </row>
    <row r="1992" spans="1:26" x14ac:dyDescent="0.25">
      <c r="A1992" s="1477"/>
      <c r="B1992" s="1477"/>
      <c r="C1992" s="1477"/>
      <c r="D1992" s="1477"/>
      <c r="E1992" s="1477"/>
      <c r="F1992" s="1477"/>
      <c r="G1992" s="1477"/>
      <c r="H1992" s="1477"/>
      <c r="I1992" s="242"/>
      <c r="J1992" s="1477"/>
      <c r="K1992" s="1477"/>
      <c r="L1992" s="1477"/>
      <c r="M1992" s="1477"/>
      <c r="N1992" s="1477"/>
      <c r="O1992" s="1477"/>
      <c r="P1992" s="1477"/>
      <c r="Q1992" s="1477"/>
      <c r="R1992" s="1477"/>
      <c r="S1992" s="1477"/>
      <c r="T1992" s="1477"/>
      <c r="U1992" s="1477"/>
      <c r="V1992" s="1477"/>
      <c r="W1992" s="1477"/>
      <c r="X1992" s="1477"/>
      <c r="Y1992" s="1477"/>
      <c r="Z1992" s="1477"/>
    </row>
    <row r="1993" spans="1:26" x14ac:dyDescent="0.25">
      <c r="A1993" s="1477"/>
      <c r="B1993" s="1477"/>
      <c r="C1993" s="1477"/>
      <c r="D1993" s="1477"/>
      <c r="E1993" s="1477"/>
      <c r="F1993" s="1477"/>
      <c r="G1993" s="1477"/>
      <c r="H1993" s="1477"/>
      <c r="I1993" s="242"/>
      <c r="J1993" s="1477"/>
      <c r="K1993" s="1477"/>
      <c r="L1993" s="1477"/>
      <c r="M1993" s="1477"/>
      <c r="N1993" s="1477"/>
      <c r="O1993" s="1477"/>
      <c r="P1993" s="1477"/>
      <c r="Q1993" s="1477"/>
      <c r="R1993" s="1477"/>
      <c r="S1993" s="1477"/>
      <c r="T1993" s="1477"/>
      <c r="U1993" s="1477"/>
      <c r="V1993" s="1477"/>
      <c r="W1993" s="1477"/>
      <c r="X1993" s="1477"/>
      <c r="Y1993" s="1477"/>
      <c r="Z1993" s="1477"/>
    </row>
    <row r="1994" spans="1:26" x14ac:dyDescent="0.25">
      <c r="A1994" s="1477"/>
      <c r="B1994" s="1477"/>
      <c r="C1994" s="1477"/>
      <c r="D1994" s="1477"/>
      <c r="E1994" s="1477"/>
      <c r="F1994" s="1477"/>
      <c r="G1994" s="1477"/>
      <c r="H1994" s="1477"/>
      <c r="I1994" s="242"/>
      <c r="J1994" s="1477"/>
      <c r="K1994" s="1477"/>
      <c r="L1994" s="1477"/>
      <c r="M1994" s="1477"/>
      <c r="N1994" s="1477"/>
      <c r="O1994" s="1477"/>
      <c r="P1994" s="1477"/>
      <c r="Q1994" s="1477"/>
      <c r="R1994" s="1477"/>
      <c r="S1994" s="1477"/>
      <c r="T1994" s="1477"/>
      <c r="U1994" s="1477"/>
      <c r="V1994" s="1477"/>
      <c r="W1994" s="1477"/>
      <c r="X1994" s="1477"/>
      <c r="Y1994" s="1477"/>
      <c r="Z1994" s="1477"/>
    </row>
    <row r="1995" spans="1:26" x14ac:dyDescent="0.25">
      <c r="A1995" s="1477"/>
      <c r="B1995" s="1477"/>
      <c r="C1995" s="1477"/>
      <c r="D1995" s="1477"/>
      <c r="E1995" s="1477"/>
      <c r="F1995" s="1477"/>
      <c r="G1995" s="1477"/>
      <c r="H1995" s="1477"/>
      <c r="I1995" s="242"/>
      <c r="J1995" s="1477"/>
      <c r="K1995" s="1477"/>
      <c r="L1995" s="1477"/>
      <c r="M1995" s="1477"/>
      <c r="N1995" s="1477"/>
      <c r="O1995" s="1477"/>
      <c r="P1995" s="1477"/>
      <c r="Q1995" s="1477"/>
      <c r="R1995" s="1477"/>
      <c r="S1995" s="1477"/>
      <c r="T1995" s="1477"/>
      <c r="U1995" s="1477"/>
      <c r="V1995" s="1477"/>
      <c r="W1995" s="1477"/>
      <c r="X1995" s="1477"/>
      <c r="Y1995" s="1477"/>
      <c r="Z1995" s="1477"/>
    </row>
    <row r="1996" spans="1:26" x14ac:dyDescent="0.25">
      <c r="A1996" s="1477"/>
      <c r="B1996" s="1477"/>
      <c r="C1996" s="1477"/>
      <c r="D1996" s="1477"/>
      <c r="E1996" s="1477"/>
      <c r="F1996" s="1477"/>
      <c r="G1996" s="1477"/>
      <c r="H1996" s="1477"/>
      <c r="I1996" s="242"/>
      <c r="J1996" s="1477"/>
      <c r="K1996" s="1477"/>
      <c r="L1996" s="1477"/>
      <c r="M1996" s="1477"/>
      <c r="N1996" s="1477"/>
      <c r="O1996" s="1477"/>
      <c r="P1996" s="1477"/>
      <c r="Q1996" s="1477"/>
      <c r="R1996" s="1477"/>
      <c r="S1996" s="1477"/>
      <c r="T1996" s="1477"/>
      <c r="U1996" s="1477"/>
      <c r="V1996" s="1477"/>
      <c r="W1996" s="1477"/>
      <c r="X1996" s="1477"/>
      <c r="Y1996" s="1477"/>
      <c r="Z1996" s="1477"/>
    </row>
    <row r="1997" spans="1:26" x14ac:dyDescent="0.25">
      <c r="A1997" s="1477"/>
      <c r="B1997" s="1477"/>
      <c r="C1997" s="1477"/>
      <c r="D1997" s="1477"/>
      <c r="E1997" s="1477"/>
      <c r="F1997" s="1477"/>
      <c r="G1997" s="1477"/>
      <c r="H1997" s="1477"/>
      <c r="I1997" s="242"/>
      <c r="J1997" s="1477"/>
      <c r="K1997" s="1477"/>
      <c r="L1997" s="1477"/>
      <c r="M1997" s="1477"/>
      <c r="N1997" s="1477"/>
      <c r="O1997" s="1477"/>
      <c r="P1997" s="1477"/>
      <c r="Q1997" s="1477"/>
      <c r="R1997" s="1477"/>
      <c r="S1997" s="1477"/>
      <c r="T1997" s="1477"/>
      <c r="U1997" s="1477"/>
      <c r="V1997" s="1477"/>
      <c r="W1997" s="1477"/>
      <c r="X1997" s="1477"/>
      <c r="Y1997" s="1477"/>
      <c r="Z1997" s="1477"/>
    </row>
    <row r="1998" spans="1:26" x14ac:dyDescent="0.25">
      <c r="A1998" s="1477"/>
      <c r="B1998" s="1477"/>
      <c r="C1998" s="1477"/>
      <c r="D1998" s="1477"/>
      <c r="E1998" s="1477"/>
      <c r="F1998" s="1477"/>
      <c r="G1998" s="1477"/>
      <c r="H1998" s="1477"/>
      <c r="I1998" s="242"/>
      <c r="J1998" s="1477"/>
      <c r="K1998" s="1477"/>
      <c r="L1998" s="1477"/>
      <c r="M1998" s="1477"/>
      <c r="N1998" s="1477"/>
      <c r="O1998" s="1477"/>
      <c r="P1998" s="1477"/>
      <c r="Q1998" s="1477"/>
      <c r="R1998" s="1477"/>
      <c r="S1998" s="1477"/>
      <c r="T1998" s="1477"/>
      <c r="U1998" s="1477"/>
      <c r="V1998" s="1477"/>
      <c r="W1998" s="1477"/>
      <c r="X1998" s="1477"/>
      <c r="Y1998" s="1477"/>
      <c r="Z1998" s="1477"/>
    </row>
    <row r="1999" spans="1:26" x14ac:dyDescent="0.25">
      <c r="A1999" s="1477"/>
      <c r="B1999" s="1477"/>
      <c r="C1999" s="1477"/>
      <c r="D1999" s="1477"/>
      <c r="E1999" s="1477"/>
      <c r="F1999" s="1477"/>
      <c r="G1999" s="1477"/>
      <c r="H1999" s="1477"/>
      <c r="I1999" s="242"/>
      <c r="J1999" s="1477"/>
      <c r="K1999" s="1477"/>
      <c r="L1999" s="1477"/>
      <c r="M1999" s="1477"/>
      <c r="N1999" s="1477"/>
      <c r="O1999" s="1477"/>
      <c r="P1999" s="1477"/>
      <c r="Q1999" s="1477"/>
      <c r="R1999" s="1477"/>
      <c r="S1999" s="1477"/>
      <c r="T1999" s="1477"/>
      <c r="U1999" s="1477"/>
      <c r="V1999" s="1477"/>
      <c r="W1999" s="1477"/>
      <c r="X1999" s="1477"/>
      <c r="Y1999" s="1477"/>
      <c r="Z1999" s="1477"/>
    </row>
    <row r="2000" spans="1:26" x14ac:dyDescent="0.25">
      <c r="A2000" s="1477"/>
      <c r="B2000" s="1477"/>
      <c r="C2000" s="1477"/>
      <c r="D2000" s="1477"/>
      <c r="E2000" s="1477"/>
      <c r="F2000" s="1477"/>
      <c r="G2000" s="1477"/>
      <c r="H2000" s="1477"/>
      <c r="I2000" s="242"/>
      <c r="J2000" s="1477"/>
      <c r="K2000" s="1477"/>
      <c r="L2000" s="1477"/>
      <c r="M2000" s="1477"/>
      <c r="N2000" s="1477"/>
      <c r="O2000" s="1477"/>
      <c r="P2000" s="1477"/>
      <c r="Q2000" s="1477"/>
      <c r="R2000" s="1477"/>
      <c r="S2000" s="1477"/>
      <c r="T2000" s="1477"/>
      <c r="U2000" s="1477"/>
      <c r="V2000" s="1477"/>
      <c r="W2000" s="1477"/>
      <c r="X2000" s="1477"/>
      <c r="Y2000" s="1477"/>
      <c r="Z2000" s="1477"/>
    </row>
  </sheetData>
  <autoFilter ref="A2:W1989" xr:uid="{A2DAC21E-4695-4B6E-BA3B-8A086D58D642}">
    <filterColumn colId="4">
      <filters>
        <filter val="Incentives Worksheet"/>
      </filters>
    </filterColumn>
  </autoFilter>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66" t="s">
        <v>1747</v>
      </c>
      <c r="B1" s="1867"/>
      <c r="C1" s="1867"/>
      <c r="D1" s="1868"/>
      <c r="F1" s="1869" t="s">
        <v>1748</v>
      </c>
      <c r="G1" s="1870"/>
      <c r="H1" s="1870"/>
      <c r="I1" s="1871"/>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1"/>
    </row>
    <row r="5" spans="1:10" x14ac:dyDescent="0.25">
      <c r="A5" s="1144" t="s">
        <v>857</v>
      </c>
      <c r="B5" s="1062">
        <v>3</v>
      </c>
      <c r="C5" s="1062">
        <v>40</v>
      </c>
      <c r="D5" s="1139">
        <v>52</v>
      </c>
      <c r="F5" s="1138" t="s">
        <v>1519</v>
      </c>
      <c r="G5" s="1136">
        <v>1401</v>
      </c>
      <c r="H5" s="1136">
        <v>31</v>
      </c>
      <c r="I5" s="1139">
        <v>44</v>
      </c>
      <c r="J5" s="1451"/>
    </row>
    <row r="6" spans="1:10" x14ac:dyDescent="0.25">
      <c r="A6" s="1144" t="s">
        <v>217</v>
      </c>
      <c r="B6" s="1062">
        <v>1</v>
      </c>
      <c r="C6" s="1062">
        <v>54</v>
      </c>
      <c r="D6" s="1139">
        <v>66</v>
      </c>
      <c r="F6" s="1138" t="s">
        <v>1519</v>
      </c>
      <c r="G6" s="1136">
        <v>1402</v>
      </c>
      <c r="H6" s="1136">
        <v>45</v>
      </c>
      <c r="I6" s="1139">
        <v>58</v>
      </c>
      <c r="J6" s="1451"/>
    </row>
    <row r="7" spans="1:10" x14ac:dyDescent="0.25">
      <c r="A7" s="1144" t="s">
        <v>217</v>
      </c>
      <c r="B7" s="1062">
        <v>2</v>
      </c>
      <c r="C7" s="1062">
        <v>68</v>
      </c>
      <c r="D7" s="1139">
        <v>80</v>
      </c>
      <c r="F7" s="1138" t="s">
        <v>1532</v>
      </c>
      <c r="G7" s="1136">
        <v>1501</v>
      </c>
      <c r="H7" s="1136">
        <v>59</v>
      </c>
      <c r="I7" s="1139">
        <v>74</v>
      </c>
      <c r="J7" s="1451"/>
    </row>
    <row r="8" spans="1:10" x14ac:dyDescent="0.25">
      <c r="A8" s="1144" t="s">
        <v>528</v>
      </c>
      <c r="B8" s="1062">
        <v>1</v>
      </c>
      <c r="C8" s="1062">
        <v>82</v>
      </c>
      <c r="D8" s="1139">
        <v>94</v>
      </c>
      <c r="F8" s="1138" t="s">
        <v>1532</v>
      </c>
      <c r="G8" s="1136">
        <v>1502</v>
      </c>
      <c r="H8" s="1136">
        <v>75</v>
      </c>
      <c r="I8" s="1139">
        <v>90</v>
      </c>
      <c r="J8" s="1451"/>
    </row>
    <row r="9" spans="1:10" x14ac:dyDescent="0.25">
      <c r="A9" s="1144" t="s">
        <v>528</v>
      </c>
      <c r="B9" s="1062">
        <v>2</v>
      </c>
      <c r="C9" s="1062">
        <v>96</v>
      </c>
      <c r="D9" s="1139">
        <v>108</v>
      </c>
      <c r="F9" s="1138" t="s">
        <v>1541</v>
      </c>
      <c r="G9" s="1136">
        <v>5501</v>
      </c>
      <c r="H9" s="1136">
        <v>91</v>
      </c>
      <c r="I9" s="1139">
        <v>104</v>
      </c>
      <c r="J9" s="1451"/>
    </row>
    <row r="10" spans="1:10" x14ac:dyDescent="0.25">
      <c r="A10" s="1144" t="s">
        <v>1113</v>
      </c>
      <c r="B10" s="1062">
        <v>1</v>
      </c>
      <c r="C10" s="1062">
        <v>110</v>
      </c>
      <c r="D10" s="1139">
        <v>116</v>
      </c>
      <c r="F10" s="1138" t="s">
        <v>1541</v>
      </c>
      <c r="G10" s="1136">
        <v>5502</v>
      </c>
      <c r="H10" s="1136">
        <v>105</v>
      </c>
      <c r="I10" s="1139">
        <v>118</v>
      </c>
      <c r="J10" s="1451"/>
    </row>
    <row r="11" spans="1:10" x14ac:dyDescent="0.25">
      <c r="A11" s="1144" t="s">
        <v>1113</v>
      </c>
      <c r="B11" s="1062">
        <v>2</v>
      </c>
      <c r="C11" s="1062">
        <v>118</v>
      </c>
      <c r="D11" s="1139">
        <v>124</v>
      </c>
      <c r="F11" s="1138" t="s">
        <v>1542</v>
      </c>
      <c r="G11" s="1136">
        <v>2801</v>
      </c>
      <c r="H11" s="1136">
        <v>119</v>
      </c>
      <c r="I11" s="1139">
        <v>134</v>
      </c>
      <c r="J11" s="1451"/>
    </row>
    <row r="12" spans="1:10" x14ac:dyDescent="0.25">
      <c r="A12" s="1144" t="s">
        <v>1113</v>
      </c>
      <c r="B12" s="1062">
        <v>3</v>
      </c>
      <c r="C12" s="1062">
        <v>126</v>
      </c>
      <c r="D12" s="1139">
        <v>132</v>
      </c>
      <c r="F12" s="1138" t="s">
        <v>1542</v>
      </c>
      <c r="G12" s="1136">
        <v>2802</v>
      </c>
      <c r="H12" s="1136">
        <v>135</v>
      </c>
      <c r="I12" s="1139">
        <v>150</v>
      </c>
      <c r="J12" s="1451"/>
    </row>
    <row r="13" spans="1:10" x14ac:dyDescent="0.25">
      <c r="A13" s="1144" t="s">
        <v>1113</v>
      </c>
      <c r="B13" s="1062">
        <v>4</v>
      </c>
      <c r="C13" s="1062">
        <v>134</v>
      </c>
      <c r="D13" s="1139">
        <v>140</v>
      </c>
      <c r="F13" s="1138" t="s">
        <v>1549</v>
      </c>
      <c r="G13" s="1136">
        <v>3401</v>
      </c>
      <c r="H13" s="1136">
        <v>151</v>
      </c>
      <c r="I13" s="1139">
        <v>164</v>
      </c>
      <c r="J13" s="1451"/>
    </row>
    <row r="14" spans="1:10" x14ac:dyDescent="0.25">
      <c r="A14" s="1144" t="s">
        <v>1113</v>
      </c>
      <c r="B14" s="1062">
        <v>5</v>
      </c>
      <c r="C14" s="1062">
        <v>142</v>
      </c>
      <c r="D14" s="1139">
        <v>148</v>
      </c>
      <c r="F14" s="1138" t="s">
        <v>1549</v>
      </c>
      <c r="G14" s="1136">
        <v>3402</v>
      </c>
      <c r="H14" s="1136">
        <v>165</v>
      </c>
      <c r="I14" s="1139">
        <v>178</v>
      </c>
      <c r="J14" s="1451"/>
    </row>
    <row r="15" spans="1:10" x14ac:dyDescent="0.25">
      <c r="A15" s="1144" t="s">
        <v>720</v>
      </c>
      <c r="B15" s="1062">
        <v>1</v>
      </c>
      <c r="C15" s="1062">
        <v>150</v>
      </c>
      <c r="D15" s="1139">
        <v>156</v>
      </c>
      <c r="F15" s="1138" t="s">
        <v>1553</v>
      </c>
      <c r="G15" s="1136">
        <v>3501</v>
      </c>
      <c r="H15" s="1136">
        <v>179</v>
      </c>
      <c r="I15" s="1139">
        <v>192</v>
      </c>
      <c r="J15" s="1451"/>
    </row>
    <row r="16" spans="1:10" x14ac:dyDescent="0.25">
      <c r="A16" s="1144" t="s">
        <v>1103</v>
      </c>
      <c r="B16" s="1062">
        <v>1</v>
      </c>
      <c r="C16" s="1062">
        <v>158</v>
      </c>
      <c r="D16" s="1139">
        <v>164</v>
      </c>
      <c r="F16" s="1138" t="s">
        <v>1553</v>
      </c>
      <c r="G16" s="1136">
        <v>3502</v>
      </c>
      <c r="H16" s="1136">
        <v>193</v>
      </c>
      <c r="I16" s="1139">
        <v>206</v>
      </c>
      <c r="J16" s="1451"/>
    </row>
    <row r="17" spans="1:10" x14ac:dyDescent="0.25">
      <c r="A17" s="1144" t="s">
        <v>1103</v>
      </c>
      <c r="B17" s="1062">
        <v>2</v>
      </c>
      <c r="C17" s="1062">
        <v>166</v>
      </c>
      <c r="D17" s="1139">
        <v>172</v>
      </c>
      <c r="F17" s="1138" t="s">
        <v>1556</v>
      </c>
      <c r="G17" s="1136">
        <v>3601</v>
      </c>
      <c r="H17" s="1136">
        <v>207</v>
      </c>
      <c r="I17" s="1139">
        <v>222</v>
      </c>
      <c r="J17" s="1451"/>
    </row>
    <row r="18" spans="1:10" x14ac:dyDescent="0.25">
      <c r="A18" s="1144" t="s">
        <v>1007</v>
      </c>
      <c r="B18" s="1062">
        <v>1</v>
      </c>
      <c r="C18" s="1062">
        <v>174</v>
      </c>
      <c r="D18" s="1139">
        <v>180</v>
      </c>
      <c r="F18" s="1138" t="s">
        <v>1556</v>
      </c>
      <c r="G18" s="1136">
        <v>3602</v>
      </c>
      <c r="H18" s="1136">
        <v>223</v>
      </c>
      <c r="I18" s="1139">
        <v>238</v>
      </c>
      <c r="J18" s="1451"/>
    </row>
    <row r="19" spans="1:10" x14ac:dyDescent="0.25">
      <c r="A19" s="1144" t="s">
        <v>1492</v>
      </c>
      <c r="B19" s="1062">
        <v>1</v>
      </c>
      <c r="C19" s="1062">
        <v>182</v>
      </c>
      <c r="D19" s="1139">
        <v>191</v>
      </c>
      <c r="F19" s="1138" t="s">
        <v>1558</v>
      </c>
      <c r="G19" s="1136">
        <v>1301</v>
      </c>
      <c r="H19" s="1136">
        <v>239</v>
      </c>
      <c r="I19" s="1139">
        <v>252</v>
      </c>
      <c r="J19" s="1451"/>
    </row>
    <row r="20" spans="1:10" x14ac:dyDescent="0.25">
      <c r="A20" s="1144" t="s">
        <v>1107</v>
      </c>
      <c r="B20" s="1062">
        <v>1</v>
      </c>
      <c r="C20" s="1062">
        <v>193</v>
      </c>
      <c r="D20" s="1139">
        <v>203</v>
      </c>
      <c r="F20" s="1138" t="s">
        <v>1558</v>
      </c>
      <c r="G20" s="1136">
        <v>1302</v>
      </c>
      <c r="H20" s="1136">
        <v>253</v>
      </c>
      <c r="I20" s="1139">
        <v>266</v>
      </c>
      <c r="J20" s="1451"/>
    </row>
    <row r="21" spans="1:10" x14ac:dyDescent="0.25">
      <c r="A21" s="1144" t="s">
        <v>1107</v>
      </c>
      <c r="B21" s="1062">
        <v>2</v>
      </c>
      <c r="C21" s="1062">
        <v>205</v>
      </c>
      <c r="D21" s="1139">
        <v>215</v>
      </c>
      <c r="F21" s="1138" t="s">
        <v>1558</v>
      </c>
      <c r="G21" s="1136">
        <v>1303</v>
      </c>
      <c r="H21" s="1136">
        <v>267</v>
      </c>
      <c r="I21" s="1139">
        <v>280</v>
      </c>
      <c r="J21" s="1451"/>
    </row>
    <row r="22" spans="1:10" x14ac:dyDescent="0.25">
      <c r="A22" s="1062" t="s">
        <v>1502</v>
      </c>
      <c r="B22" s="1062">
        <v>1</v>
      </c>
      <c r="C22" s="1062">
        <v>217</v>
      </c>
      <c r="D22" s="1196">
        <v>223</v>
      </c>
      <c r="F22" s="1138" t="s">
        <v>1558</v>
      </c>
      <c r="G22" s="1136">
        <v>1304</v>
      </c>
      <c r="H22" s="1136">
        <v>281</v>
      </c>
      <c r="I22" s="1139">
        <v>294</v>
      </c>
      <c r="J22" s="1451"/>
    </row>
    <row r="23" spans="1:10" x14ac:dyDescent="0.25">
      <c r="A23" s="1144" t="s">
        <v>1839</v>
      </c>
      <c r="B23" s="1062">
        <v>1</v>
      </c>
      <c r="C23" s="1062">
        <v>225</v>
      </c>
      <c r="D23" s="1208">
        <v>234</v>
      </c>
      <c r="F23" s="1138" t="s">
        <v>1558</v>
      </c>
      <c r="G23" s="1136">
        <v>1305</v>
      </c>
      <c r="H23" s="1136">
        <v>295</v>
      </c>
      <c r="I23" s="1139">
        <v>308</v>
      </c>
      <c r="J23" s="1451"/>
    </row>
    <row r="24" spans="1:10" x14ac:dyDescent="0.25">
      <c r="A24" s="1144" t="s">
        <v>1839</v>
      </c>
      <c r="B24" s="1062">
        <v>2</v>
      </c>
      <c r="C24" s="1062">
        <v>236</v>
      </c>
      <c r="D24" s="1208">
        <v>245</v>
      </c>
      <c r="F24" s="1138" t="s">
        <v>1559</v>
      </c>
      <c r="G24" s="1136">
        <v>4001</v>
      </c>
      <c r="H24" s="1136">
        <v>309</v>
      </c>
      <c r="I24" s="1139">
        <v>322</v>
      </c>
      <c r="J24" s="1451"/>
    </row>
    <row r="25" spans="1:10" x14ac:dyDescent="0.25">
      <c r="A25" s="1144" t="s">
        <v>1839</v>
      </c>
      <c r="B25" s="1062">
        <v>3</v>
      </c>
      <c r="C25" s="1062">
        <v>247</v>
      </c>
      <c r="D25" s="1208">
        <v>256</v>
      </c>
      <c r="F25" s="1138" t="s">
        <v>1619</v>
      </c>
      <c r="G25" s="1136">
        <v>4601</v>
      </c>
      <c r="H25" s="1136">
        <v>323</v>
      </c>
      <c r="I25" s="1139">
        <v>336</v>
      </c>
      <c r="J25" s="1451"/>
    </row>
    <row r="26" spans="1:10" x14ac:dyDescent="0.25">
      <c r="A26" s="1144" t="s">
        <v>1839</v>
      </c>
      <c r="B26" s="1062">
        <v>4</v>
      </c>
      <c r="C26" s="1062">
        <v>258</v>
      </c>
      <c r="D26" s="1208">
        <v>267</v>
      </c>
      <c r="F26" s="1138" t="s">
        <v>1619</v>
      </c>
      <c r="G26" s="1136">
        <v>4602</v>
      </c>
      <c r="H26" s="1136">
        <v>337</v>
      </c>
      <c r="I26" s="1139">
        <v>350</v>
      </c>
      <c r="J26" s="1451"/>
    </row>
    <row r="27" spans="1:10" x14ac:dyDescent="0.25">
      <c r="A27" s="1144" t="s">
        <v>1839</v>
      </c>
      <c r="B27" s="1062">
        <v>5</v>
      </c>
      <c r="C27" s="1062">
        <v>269</v>
      </c>
      <c r="D27" s="1208">
        <v>278</v>
      </c>
      <c r="F27" s="1138" t="s">
        <v>1825</v>
      </c>
      <c r="G27" s="1136">
        <v>4901</v>
      </c>
      <c r="H27" s="1136">
        <v>351</v>
      </c>
      <c r="I27" s="1139">
        <v>364</v>
      </c>
      <c r="J27" s="1451"/>
    </row>
    <row r="28" spans="1:10" x14ac:dyDescent="0.25">
      <c r="A28" s="1144" t="s">
        <v>1839</v>
      </c>
      <c r="B28" s="1062">
        <v>6</v>
      </c>
      <c r="C28" s="1062">
        <v>280</v>
      </c>
      <c r="D28" s="1208">
        <v>289</v>
      </c>
      <c r="F28" s="1138" t="s">
        <v>1627</v>
      </c>
      <c r="G28" s="1136">
        <v>5001</v>
      </c>
      <c r="H28" s="1136">
        <v>365</v>
      </c>
      <c r="I28" s="1139">
        <v>378</v>
      </c>
      <c r="J28" s="1451"/>
    </row>
    <row r="29" spans="1:10" x14ac:dyDescent="0.25">
      <c r="A29" s="1144" t="s">
        <v>1839</v>
      </c>
      <c r="B29" s="1062">
        <v>7</v>
      </c>
      <c r="C29" s="1062">
        <v>291</v>
      </c>
      <c r="D29" s="1208">
        <v>300</v>
      </c>
      <c r="F29" s="1138" t="s">
        <v>1141</v>
      </c>
      <c r="G29" s="1136">
        <v>801</v>
      </c>
      <c r="H29" s="1136">
        <v>379</v>
      </c>
      <c r="I29" s="1139">
        <v>392</v>
      </c>
      <c r="J29" s="1451"/>
    </row>
    <row r="30" spans="1:10" x14ac:dyDescent="0.25">
      <c r="A30" s="1144" t="s">
        <v>1839</v>
      </c>
      <c r="B30" s="1062">
        <v>8</v>
      </c>
      <c r="C30" s="1062">
        <v>302</v>
      </c>
      <c r="D30" s="1208">
        <v>311</v>
      </c>
      <c r="F30" s="1138" t="s">
        <v>1631</v>
      </c>
      <c r="G30" s="1136">
        <v>901</v>
      </c>
      <c r="H30" s="1136">
        <v>393</v>
      </c>
      <c r="I30" s="1139">
        <v>406</v>
      </c>
      <c r="J30" s="1451"/>
    </row>
    <row r="31" spans="1:10" x14ac:dyDescent="0.25">
      <c r="A31" s="1144" t="s">
        <v>1839</v>
      </c>
      <c r="B31" s="1062">
        <v>9</v>
      </c>
      <c r="C31" s="1062">
        <v>313</v>
      </c>
      <c r="D31" s="1208">
        <v>322</v>
      </c>
      <c r="F31" s="1138" t="s">
        <v>1633</v>
      </c>
      <c r="G31" s="1136">
        <v>501</v>
      </c>
      <c r="H31" s="1136">
        <v>407</v>
      </c>
      <c r="I31" s="1139">
        <v>420</v>
      </c>
      <c r="J31" s="1451"/>
    </row>
    <row r="32" spans="1:10" ht="15.75" thickBot="1" x14ac:dyDescent="0.3">
      <c r="A32" s="1145" t="s">
        <v>1839</v>
      </c>
      <c r="B32" s="1146">
        <v>10</v>
      </c>
      <c r="C32" s="1146">
        <v>324</v>
      </c>
      <c r="D32" s="1209">
        <v>333</v>
      </c>
      <c r="F32" s="1138" t="s">
        <v>1633</v>
      </c>
      <c r="G32" s="1136">
        <v>502</v>
      </c>
      <c r="H32" s="1136">
        <v>421</v>
      </c>
      <c r="I32" s="1139">
        <v>434</v>
      </c>
      <c r="J32" s="1451"/>
    </row>
    <row r="33" spans="6:10" x14ac:dyDescent="0.25">
      <c r="F33" s="1138" t="s">
        <v>1636</v>
      </c>
      <c r="G33" s="1136">
        <v>5601</v>
      </c>
      <c r="H33" s="1136">
        <v>435</v>
      </c>
      <c r="I33" s="1139">
        <v>448</v>
      </c>
      <c r="J33" s="1451"/>
    </row>
    <row r="34" spans="6:10" x14ac:dyDescent="0.25">
      <c r="F34" s="1138" t="s">
        <v>1636</v>
      </c>
      <c r="G34" s="1136">
        <v>5602</v>
      </c>
      <c r="H34" s="1136">
        <v>449</v>
      </c>
      <c r="I34" s="1139">
        <v>462</v>
      </c>
      <c r="J34" s="1451"/>
    </row>
    <row r="35" spans="6:10" x14ac:dyDescent="0.25">
      <c r="F35" s="1138" t="s">
        <v>1639</v>
      </c>
      <c r="G35" s="1136">
        <v>601</v>
      </c>
      <c r="H35" s="1136">
        <v>463</v>
      </c>
      <c r="I35" s="1139">
        <v>476</v>
      </c>
      <c r="J35" s="1451"/>
    </row>
    <row r="36" spans="6:10" x14ac:dyDescent="0.25">
      <c r="F36" s="1138" t="s">
        <v>1639</v>
      </c>
      <c r="G36" s="1136">
        <v>602</v>
      </c>
      <c r="H36" s="1136">
        <v>477</v>
      </c>
      <c r="I36" s="1139">
        <v>490</v>
      </c>
      <c r="J36" s="1451"/>
    </row>
    <row r="37" spans="6:10" ht="15.75" thickBot="1" x14ac:dyDescent="0.3">
      <c r="F37" s="32" t="s">
        <v>1648</v>
      </c>
      <c r="G37" s="1137">
        <v>1001</v>
      </c>
      <c r="H37" s="1137">
        <v>491</v>
      </c>
      <c r="I37" s="845">
        <v>502</v>
      </c>
      <c r="J37" s="14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2022-03-30T08:51:03Z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e3c9d744-cad0-478d-8036-57666bf75e4f</vt:lpwstr>
  </property>
  <property fmtid="{D5CDD505-2E9C-101B-9397-08002B2CF9AE}" pid="4" name="Classification">
    <vt:lpwstr>LV_R3STR1CT3D</vt:lpwstr>
  </property>
  <property fmtid="{D5CDD505-2E9C-101B-9397-08002B2CF9AE}" pid="5" name="ContainsPII">
    <vt:lpwstr>No</vt:lpwstr>
  </property>
</Properties>
</file>